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Hypothèses" sheetId="1" state="visible" r:id="rId2"/>
    <sheet name="Revenus" sheetId="2" state="visible" r:id="rId3"/>
    <sheet name="P&amp;L 5 ans" sheetId="3" state="visible" r:id="rId4"/>
    <sheet name="CAPEX &amp; Financement" sheetId="4" state="visible" r:id="rId5"/>
    <sheet name="Seuil &amp; Scénario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<sst xmlns="http://schemas.openxmlformats.org/spreadsheetml/2006/main" count="143" uniqueCount="123">
  <si>
    <t xml:space="preserve">VALLYO STORIES — MODÈLE FINANCIER 5 ANS (EUR hors TVA)</t>
  </si>
  <si>
    <t xml:space="preserve">SCÉNARIO ACTIF (1=Prudent, 2=Base, 3=Optimiste)</t>
  </si>
  <si>
    <t xml:space="preserve">Facteur de fréquentation</t>
  </si>
  <si>
    <t xml:space="preserve">A. FRÉQUENTATION (visiteurs payants/an, scénario base)</t>
  </si>
  <si>
    <t xml:space="preserve">Année</t>
  </si>
  <si>
    <t xml:space="preserve">Visiteurs base</t>
  </si>
  <si>
    <t xml:space="preserve">Année 1 (rampe)</t>
  </si>
  <si>
    <t xml:space="preserve">Année 2</t>
  </si>
  <si>
    <t xml:space="preserve">Année 3 (croisière)</t>
  </si>
  <si>
    <t xml:space="preserve">Année 4</t>
  </si>
  <si>
    <t xml:space="preserve">Année 5</t>
  </si>
  <si>
    <t xml:space="preserve">B. PRICING (TTC, TVA loisirs 12% dès mars 2026)</t>
  </si>
  <si>
    <t xml:space="preserve">Paramètre</t>
  </si>
  <si>
    <t xml:space="preserve">Valeur</t>
  </si>
  <si>
    <t xml:space="preserve">Entrée enfant (2-10 ans)</t>
  </si>
  <si>
    <t xml:space="preserve">Entrée adulte accompagnant</t>
  </si>
  <si>
    <t xml:space="preserve">Part d'enfants dans les entrées</t>
  </si>
  <si>
    <t xml:space="preserve">Panier F&amp;B moyen / visiteur (TTC)</t>
  </si>
  <si>
    <t xml:space="preserve">Pénétration F&amp;B (% visiteurs)</t>
  </si>
  <si>
    <t xml:space="preserve">Anniversaire moyen (TTC, 10-12 enfants)</t>
  </si>
  <si>
    <t xml:space="preserve">Privatisation corporate moyenne (HT)</t>
  </si>
  <si>
    <t xml:space="preserve">Entrée scolaire / enfant (TTC)</t>
  </si>
  <si>
    <t xml:space="preserve">C. VOLUMES AUTRES REVENUS (base)</t>
  </si>
  <si>
    <t xml:space="preserve">Ligne</t>
  </si>
  <si>
    <t xml:space="preserve">A1</t>
  </si>
  <si>
    <t xml:space="preserve">A2</t>
  </si>
  <si>
    <t xml:space="preserve">A3</t>
  </si>
  <si>
    <t xml:space="preserve">A4</t>
  </si>
  <si>
    <t xml:space="preserve">A5</t>
  </si>
  <si>
    <t xml:space="preserve">Anniversaires / an</t>
  </si>
  <si>
    <t xml:space="preserve">Privatisations corporate / an</t>
  </si>
  <si>
    <t xml:space="preserve">Enfants scolaires / an</t>
  </si>
  <si>
    <t xml:space="preserve">D. OPEX ANNUELS (base, k€ — indexation 2,5%/an sauf mention)</t>
  </si>
  <si>
    <t xml:space="preserve">Poste</t>
  </si>
  <si>
    <t xml:space="preserve">A1 (k€)</t>
  </si>
  <si>
    <t xml:space="preserve">Variable ?</t>
  </si>
  <si>
    <t xml:space="preserve">Personnel (9 ETP manager, animateurs, café, accueil + étudiants)</t>
  </si>
  <si>
    <t xml:space="preserve">partiel</t>
  </si>
  <si>
    <t xml:space="preserve">Loyer 900 m² × 125 €/m²/an + charges</t>
  </si>
  <si>
    <t xml:space="preserve">non</t>
  </si>
  <si>
    <t xml:space="preserve">Énergie &amp; utilities</t>
  </si>
  <si>
    <t xml:space="preserve">Marketing &amp; communication</t>
  </si>
  <si>
    <t xml:space="preserve">Entretien, nettoyage, maintenance</t>
  </si>
  <si>
    <t xml:space="preserve">Assurances (RC exploitation, AT)</t>
  </si>
  <si>
    <t xml:space="preserve">IT, billetterie, bracelets (SaaS)</t>
  </si>
  <si>
    <t xml:space="preserve">Fournitures &amp; consommables jeux</t>
  </si>
  <si>
    <t xml:space="preserve">Admin, comptabilité, secrétariat social</t>
  </si>
  <si>
    <t xml:space="preserve">COGS F&amp;B (% du CA F&amp;B net)</t>
  </si>
  <si>
    <t xml:space="preserve">COGS anniversaires (% du CA net)</t>
  </si>
  <si>
    <t xml:space="preserve">Part variable du personnel (liée à la fréquentation)</t>
  </si>
  <si>
    <t xml:space="preserve">Indexation annuelle OPEX</t>
  </si>
  <si>
    <t xml:space="preserve">Taux TVA loisirs (mars 2026)</t>
  </si>
  <si>
    <t xml:space="preserve">CONSTRUCTION DES REVENUS (EUR hors TVA)</t>
  </si>
  <si>
    <t xml:space="preserve">Ligne de revenu</t>
  </si>
  <si>
    <t xml:space="preserve">Année 1</t>
  </si>
  <si>
    <t xml:space="preserve">Année 3</t>
  </si>
  <si>
    <t xml:space="preserve">Visiteurs (scénario ajusté)</t>
  </si>
  <si>
    <t xml:space="preserve">Prix d'entrée mixte moyen HT</t>
  </si>
  <si>
    <t xml:space="preserve">Billetterie</t>
  </si>
  <si>
    <t xml:space="preserve">Vallyo Square — Restauration (net)</t>
  </si>
  <si>
    <t xml:space="preserve">Vallyo Houses — Anniversaires (net)</t>
  </si>
  <si>
    <t xml:space="preserve">Corporate &amp; privatisations (HT)</t>
  </si>
  <si>
    <t xml:space="preserve">Groupes scolaires (net)</t>
  </si>
  <si>
    <t xml:space="preserve">TOTAL REVENUS</t>
  </si>
  <si>
    <t xml:space="preserve">Mix % (année 3)</t>
  </si>
  <si>
    <t xml:space="preserve">Restauration</t>
  </si>
  <si>
    <t xml:space="preserve">Anniversaires</t>
  </si>
  <si>
    <t xml:space="preserve">Corporate</t>
  </si>
  <si>
    <t xml:space="preserve">Scolaires</t>
  </si>
  <si>
    <t xml:space="preserve">COMPTE DE RÉSULTAT PRÉVISIONNEL (EUR)</t>
  </si>
  <si>
    <t xml:space="preserve">Total revenus</t>
  </si>
  <si>
    <t xml:space="preserve">COGS F&amp;B + anniversaires</t>
  </si>
  <si>
    <t xml:space="preserve">Marge brute</t>
  </si>
  <si>
    <t xml:space="preserve">Personnel</t>
  </si>
  <si>
    <t xml:space="preserve">Loyer &amp; charges</t>
  </si>
  <si>
    <t xml:space="preserve">Marketing</t>
  </si>
  <si>
    <t xml:space="preserve">Entretien &amp; maintenance</t>
  </si>
  <si>
    <t xml:space="preserve">Assurances</t>
  </si>
  <si>
    <t xml:space="preserve">IT &amp; SaaS</t>
  </si>
  <si>
    <t xml:space="preserve">Fournitures jeux</t>
  </si>
  <si>
    <t xml:space="preserve">Admin &amp; comptabilité</t>
  </si>
  <si>
    <t xml:space="preserve">Total OPEX</t>
  </si>
  <si>
    <t xml:space="preserve">EBITDA</t>
  </si>
  <si>
    <t xml:space="preserve">Marge EBITDA</t>
  </si>
  <si>
    <t xml:space="preserve">Dotations aux amortissements (CAPEX 1,2M€ sur 8 ans)</t>
  </si>
  <si>
    <t xml:space="preserve">Résultat d'exploitation (EBIT)</t>
  </si>
  <si>
    <t xml:space="preserve">Impôt sociétés (25% si bénéfice)</t>
  </si>
  <si>
    <t xml:space="preserve">RÉSULTAT NET</t>
  </si>
  <si>
    <t xml:space="preserve">INVESTISSEMENT INITIAL &amp; PLAN DE FINANCEMENT</t>
  </si>
  <si>
    <t xml:space="preserve">Poste CAPEX</t>
  </si>
  <si>
    <t xml:space="preserve">Montant</t>
  </si>
  <si>
    <t xml:space="preserve">Travaux &amp; aménagement décors immersifs (900 m² × 750 €/m²)</t>
  </si>
  <si>
    <t xml:space="preserve">Structures de jeu, mur d'escalade, mobilier de jeu</t>
  </si>
  <si>
    <t xml:space="preserve">Café / cuisine Vallyo Square</t>
  </si>
  <si>
    <t xml:space="preserve">Mobilier &amp; agencement café/accueil</t>
  </si>
  <si>
    <t xml:space="preserve">Technologie : bracelets RFID, billetterie, effets, IT</t>
  </si>
  <si>
    <t xml:space="preserve">Branding, signalétique, passeports</t>
  </si>
  <si>
    <t xml:space="preserve">Frais pré-exploitation (architecte, permis, juridique, BOIP/EUIPO)</t>
  </si>
  <si>
    <t xml:space="preserve">Marketing de lancement</t>
  </si>
  <si>
    <t xml:space="preserve">Trésorerie de sécurité / BFR</t>
  </si>
  <si>
    <t xml:space="preserve">BESOIN TOTAL DE FINANCEMENT</t>
  </si>
  <si>
    <t xml:space="preserve">Structure proposée</t>
  </si>
  <si>
    <t xml:space="preserve">Fonds propres fondateurs</t>
  </si>
  <si>
    <t xml:space="preserve">Tour de table investisseurs (ce dossier)</t>
  </si>
  <si>
    <t xml:space="preserve">Dette bancaire / leasing matériel</t>
  </si>
  <si>
    <t xml:space="preserve">Total</t>
  </si>
  <si>
    <t xml:space="preserve">SEUIL DE RENTABILITÉ &amp; COMPARAISON DES SCÉNARIOS</t>
  </si>
  <si>
    <t xml:space="preserve">Seuil de rentabilité (année de croisière, base)</t>
  </si>
  <si>
    <t xml:space="preserve">Coûts fixes annuels (OPEX fixes + amort.)</t>
  </si>
  <si>
    <t xml:space="preserve">Marge sur coûts variables / visiteur</t>
  </si>
  <si>
    <t xml:space="preserve">Visiteurs nécessaires au point mort (hors revenus annexes)</t>
  </si>
  <si>
    <t xml:space="preserve">Note : les revenus anniversaires/corporate/scolaires (~250 k€/an) abaissent le seuil réel à ~55-60 k visiteurs.</t>
  </si>
  <si>
    <t xml:space="preserve">Comparaison des 3 scénarios (année 3, calculs indépendants)</t>
  </si>
  <si>
    <t xml:space="preserve">Scénario</t>
  </si>
  <si>
    <t xml:space="preserve">Visiteurs A3</t>
  </si>
  <si>
    <t xml:space="preserve">Revenus A3</t>
  </si>
  <si>
    <t xml:space="preserve">EBITDA A3</t>
  </si>
  <si>
    <t xml:space="preserve">Marge</t>
  </si>
  <si>
    <t xml:space="preserve">Payback CAPEX</t>
  </si>
  <si>
    <t xml:space="preserve">PRUDENT</t>
  </si>
  <si>
    <t xml:space="preserve">—</t>
  </si>
  <si>
    <t xml:space="preserve">BASE</t>
  </si>
  <si>
    <t xml:space="preserve">OPTIMISTE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</si>
</sst>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#,##0"/>
    <numFmt numFmtId="167" formatCode="#,##0.00&quot; €&quot;"/>
    <numFmt numFmtId="168" formatCode="0.0%"/>
    <numFmt numFmtId="169" formatCode="#,##0&quot; €&quot;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mbria"/>
      <family val="0"/>
      <charset val="1"/>
    </font>
    <font>
      <b val="true"/>
      <sz val="10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color rgb="FF2F5D50"/>
      <name val="Cambria"/>
      <family val="0"/>
      <charset val="1"/>
    </font>
    <font>
      <sz val="10"/>
      <name val="Cambria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1"/>
      <name val="Cambria"/>
      <family val="0"/>
      <charset val="1"/>
    </font>
    <font>
      <i val="true"/>
      <sz val="9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F5D50"/>
        <bgColor rgb="FF333399"/>
      </patternFill>
    </fill>
    <fill>
      <patternFill patternType="solid">
        <fgColor rgb="FFFFF3D6"/>
        <bgColor rgb="FFEAF1EE"/>
      </patternFill>
    </fill>
    <fill>
      <patternFill patternType="solid">
        <fgColor rgb="FFEAF1EE"/>
        <bgColor rgb="FFD8E6DF"/>
      </patternFill>
    </fill>
    <fill>
      <patternFill patternType="solid">
        <fgColor rgb="FFD8E6DF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C8C8"/>
      <rgbColor rgb="FF878787"/>
      <rgbColor rgb="FF9999FF"/>
      <rgbColor rgb="FFC0504D"/>
      <rgbColor rgb="FFFFF3D6"/>
      <rgbColor rgb="FFEAF1EE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E6DF"/>
      <rgbColor rgb="FFFFFF99"/>
      <rgbColor rgb="FF99CCFF"/>
      <rgbColor rgb="FFFF99CC"/>
      <rgbColor rgb="FFCC99FF"/>
      <rgbColor rgb="FFFFCC99"/>
      <rgbColor rgb="FF4A7EBB"/>
      <rgbColor rgb="FF4BACC6"/>
      <rgbColor rgb="FF9BBB59"/>
      <rgbColor rgb="FFFFCC00"/>
      <rgbColor rgb="FFFF9900"/>
      <rgbColor rgb="FFFF6600"/>
      <rgbColor rgb="FF8064A2"/>
      <rgbColor rgb="FF969696"/>
      <rgbColor rgb="FF003366"/>
      <rgbColor rgb="FF4F81BD"/>
      <rgbColor rgb="FF003300"/>
      <rgbColor rgb="FF333300"/>
      <rgbColor rgb="FF993300"/>
      <rgbColor rgb="FF993366"/>
      <rgbColor rgb="FF333399"/>
      <rgbColor rgb="FF2F5D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Revenus par ligne (5 ans)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Revenus!A7</c:f>
              <c:strCache>
                <c:ptCount val="1"/>
                <c:pt idx="0">
                  <c:v>Billetterie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Revenus!$B$4:$F$4</c:f>
              <c:strCache>
                <c:ptCount val="5"/>
                <c:pt idx="0">
                  <c:v>Année 1</c:v>
                </c:pt>
                <c:pt idx="1">
                  <c:v>Année 2</c:v>
                </c:pt>
                <c:pt idx="2">
                  <c:v>Année 3</c:v>
                </c:pt>
                <c:pt idx="3">
                  <c:v>Année 4</c:v>
                </c:pt>
                <c:pt idx="4">
                  <c:v>Année 5</c:v>
                </c:pt>
              </c:strCache>
            </c:strRef>
          </c:cat>
          <c:val>
            <c:numRef>
              <c:f>Revenus!$B$7:$F$7</c:f>
              <c:numCache>
                <c:formatCode>General</c:formatCode>
                <c:ptCount val="5"/>
                <c:pt idx="0">
                  <c:v>685714.285714286</c:v>
                </c:pt>
                <c:pt idx="1">
                  <c:v>822857.142857143</c:v>
                </c:pt>
                <c:pt idx="2">
                  <c:v>937142.857142857</c:v>
                </c:pt>
                <c:pt idx="3">
                  <c:v>1005714.28571429</c:v>
                </c:pt>
                <c:pt idx="4">
                  <c:v>1051428.57142857</c:v>
                </c:pt>
              </c:numCache>
            </c:numRef>
          </c:val>
        </c:ser>
        <c:ser>
          <c:idx val="1"/>
          <c:order val="1"/>
          <c:tx>
            <c:strRef>
              <c:f>Revenus!A8</c:f>
              <c:strCache>
                <c:ptCount val="1"/>
                <c:pt idx="0">
                  <c:v>Vallyo Square — Restauration (net)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Revenus!$B$4:$F$4</c:f>
              <c:strCache>
                <c:ptCount val="5"/>
                <c:pt idx="0">
                  <c:v>Année 1</c:v>
                </c:pt>
                <c:pt idx="1">
                  <c:v>Année 2</c:v>
                </c:pt>
                <c:pt idx="2">
                  <c:v>Année 3</c:v>
                </c:pt>
                <c:pt idx="3">
                  <c:v>Année 4</c:v>
                </c:pt>
                <c:pt idx="4">
                  <c:v>Année 5</c:v>
                </c:pt>
              </c:strCache>
            </c:strRef>
          </c:cat>
          <c:val>
            <c:numRef>
              <c:f>Revenus!$B$8:$F$8</c:f>
              <c:numCache>
                <c:formatCode>General</c:formatCode>
                <c:ptCount val="5"/>
                <c:pt idx="0">
                  <c:v>147321.428571429</c:v>
                </c:pt>
                <c:pt idx="1">
                  <c:v>176785.714285714</c:v>
                </c:pt>
                <c:pt idx="2">
                  <c:v>201339.285714286</c:v>
                </c:pt>
                <c:pt idx="3">
                  <c:v>216071.428571429</c:v>
                </c:pt>
                <c:pt idx="4">
                  <c:v>225892.857142857</c:v>
                </c:pt>
              </c:numCache>
            </c:numRef>
          </c:val>
        </c:ser>
        <c:ser>
          <c:idx val="2"/>
          <c:order val="2"/>
          <c:tx>
            <c:strRef>
              <c:f>Revenus!A9</c:f>
              <c:strCache>
                <c:ptCount val="1"/>
                <c:pt idx="0">
                  <c:v>Vallyo Houses — Anniversaires (net)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Revenus!$B$4:$F$4</c:f>
              <c:strCache>
                <c:ptCount val="5"/>
                <c:pt idx="0">
                  <c:v>Année 1</c:v>
                </c:pt>
                <c:pt idx="1">
                  <c:v>Année 2</c:v>
                </c:pt>
                <c:pt idx="2">
                  <c:v>Année 3</c:v>
                </c:pt>
                <c:pt idx="3">
                  <c:v>Année 4</c:v>
                </c:pt>
                <c:pt idx="4">
                  <c:v>Année 5</c:v>
                </c:pt>
              </c:strCache>
            </c:strRef>
          </c:cat>
          <c:val>
            <c:numRef>
              <c:f>Revenus!$B$9:$F$9</c:f>
              <c:numCache>
                <c:formatCode>General</c:formatCode>
                <c:ptCount val="5"/>
                <c:pt idx="0">
                  <c:v>75000</c:v>
                </c:pt>
                <c:pt idx="1">
                  <c:v>90000</c:v>
                </c:pt>
                <c:pt idx="2">
                  <c:v>100000</c:v>
                </c:pt>
                <c:pt idx="3">
                  <c:v>105000</c:v>
                </c:pt>
                <c:pt idx="4">
                  <c:v>110000</c:v>
                </c:pt>
              </c:numCache>
            </c:numRef>
          </c:val>
        </c:ser>
        <c:ser>
          <c:idx val="3"/>
          <c:order val="3"/>
          <c:tx>
            <c:strRef>
              <c:f>Revenus!A10</c:f>
              <c:strCache>
                <c:ptCount val="1"/>
                <c:pt idx="0">
                  <c:v>Corporate &amp; privatisations (HT)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Revenus!$B$4:$F$4</c:f>
              <c:strCache>
                <c:ptCount val="5"/>
                <c:pt idx="0">
                  <c:v>Année 1</c:v>
                </c:pt>
                <c:pt idx="1">
                  <c:v>Année 2</c:v>
                </c:pt>
                <c:pt idx="2">
                  <c:v>Année 3</c:v>
                </c:pt>
                <c:pt idx="3">
                  <c:v>Année 4</c:v>
                </c:pt>
                <c:pt idx="4">
                  <c:v>Année 5</c:v>
                </c:pt>
              </c:strCache>
            </c:strRef>
          </c:cat>
          <c:val>
            <c:numRef>
              <c:f>Revenus!$B$10:$F$10</c:f>
              <c:numCache>
                <c:formatCode>General</c:formatCode>
                <c:ptCount val="5"/>
                <c:pt idx="0">
                  <c:v>27000</c:v>
                </c:pt>
                <c:pt idx="1">
                  <c:v>39600</c:v>
                </c:pt>
                <c:pt idx="2">
                  <c:v>45000</c:v>
                </c:pt>
                <c:pt idx="3">
                  <c:v>50400</c:v>
                </c:pt>
                <c:pt idx="4">
                  <c:v>54000</c:v>
                </c:pt>
              </c:numCache>
            </c:numRef>
          </c:val>
        </c:ser>
        <c:ser>
          <c:idx val="4"/>
          <c:order val="4"/>
          <c:tx>
            <c:strRef>
              <c:f>Revenus!A11</c:f>
              <c:strCache>
                <c:ptCount val="1"/>
                <c:pt idx="0">
                  <c:v>Groupes scolaires (net)</c:v>
                </c:pt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Revenus!$B$4:$F$4</c:f>
              <c:strCache>
                <c:ptCount val="5"/>
                <c:pt idx="0">
                  <c:v>Année 1</c:v>
                </c:pt>
                <c:pt idx="1">
                  <c:v>Année 2</c:v>
                </c:pt>
                <c:pt idx="2">
                  <c:v>Année 3</c:v>
                </c:pt>
                <c:pt idx="3">
                  <c:v>Année 4</c:v>
                </c:pt>
                <c:pt idx="4">
                  <c:v>Année 5</c:v>
                </c:pt>
              </c:strCache>
            </c:strRef>
          </c:cat>
          <c:val>
            <c:numRef>
              <c:f>Revenus!$B$11:$F$11</c:f>
              <c:numCache>
                <c:formatCode>General</c:formatCode>
                <c:ptCount val="5"/>
                <c:pt idx="0">
                  <c:v>48214.2857142857</c:v>
                </c:pt>
                <c:pt idx="1">
                  <c:v>72321.4285714286</c:v>
                </c:pt>
                <c:pt idx="2">
                  <c:v>84375</c:v>
                </c:pt>
                <c:pt idx="3">
                  <c:v>92410.7142857143</c:v>
                </c:pt>
                <c:pt idx="4">
                  <c:v>96428.5714285714</c:v>
                </c:pt>
              </c:numCache>
            </c:numRef>
          </c:val>
        </c:ser>
        <c:gapWidth val="150"/>
        <c:overlap val="100"/>
        <c:axId val="59210265"/>
        <c:axId val="82942383"/>
      </c:barChart>
      <c:catAx>
        <c:axId val="5921026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942383"/>
        <c:crosses val="autoZero"/>
        <c:auto val="1"/>
        <c:lblAlgn val="ctr"/>
        <c:lblOffset val="100"/>
        <c:noMultiLvlLbl val="0"/>
      </c:catAx>
      <c:valAx>
        <c:axId val="8294238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921026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EBITDA (5 ans)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'P&amp;L 5 ans'!A17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'P&amp;L 5 ans'!$B$3:$F$3</c:f>
              <c:strCache>
                <c:ptCount val="5"/>
                <c:pt idx="0">
                  <c:v>Année 1</c:v>
                </c:pt>
                <c:pt idx="1">
                  <c:v>Année 2</c:v>
                </c:pt>
                <c:pt idx="2">
                  <c:v>Année 3</c:v>
                </c:pt>
                <c:pt idx="3">
                  <c:v>Année 4</c:v>
                </c:pt>
                <c:pt idx="4">
                  <c:v>Année 5</c:v>
                </c:pt>
              </c:strCache>
            </c:strRef>
          </c:cat>
          <c:val>
            <c:numRef>
              <c:f>'P&amp;L 5 ans'!$B$17:$F$17</c:f>
              <c:numCache>
                <c:formatCode>General</c:formatCode>
                <c:ptCount val="5"/>
                <c:pt idx="0">
                  <c:v>10107.1428571428</c:v>
                </c:pt>
                <c:pt idx="1">
                  <c:v>193217.857142857</c:v>
                </c:pt>
                <c:pt idx="2">
                  <c:v>326309.196428572</c:v>
                </c:pt>
                <c:pt idx="3">
                  <c:v>398406.212053572</c:v>
                </c:pt>
                <c:pt idx="4">
                  <c:v>437890.742354911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486605"/>
        <c:axId val="1365168"/>
      </c:lineChart>
      <c:catAx>
        <c:axId val="148660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65168"/>
        <c:crosses val="autoZero"/>
        <c:auto val="1"/>
        <c:lblAlgn val="ctr"/>
        <c:lblOffset val="100"/>
        <c:noMultiLvlLbl val="0"/>
      </c:catAx>
      <c:valAx>
        <c:axId val="13651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8660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21</xdr:row>
      <xdr:rowOff>0</xdr:rowOff>
    </xdr:from>
    <xdr:to>
      <xdr:col>4</xdr:col>
      <xdr:colOff>558720</xdr:colOff>
      <xdr:row>36</xdr:row>
      <xdr:rowOff>22320</xdr:rowOff>
    </xdr:to>
    <xdr:graphicFrame>
      <xdr:nvGraphicFramePr>
        <xdr:cNvPr id="0" name="Chart 1"/>
        <xdr:cNvGraphicFramePr/>
      </xdr:nvGraphicFramePr>
      <xdr:xfrm>
        <a:off x="0" y="4000680"/>
        <a:ext cx="647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24</xdr:row>
      <xdr:rowOff>0</xdr:rowOff>
    </xdr:from>
    <xdr:to>
      <xdr:col>2</xdr:col>
      <xdr:colOff>90360</xdr:colOff>
      <xdr:row>39</xdr:row>
      <xdr:rowOff>21960</xdr:rowOff>
    </xdr:to>
    <xdr:graphicFrame>
      <xdr:nvGraphicFramePr>
        <xdr:cNvPr id="1" name="Chart 1"/>
        <xdr:cNvGraphicFramePr/>
      </xdr:nvGraphicFramePr>
      <xdr:xfrm>
        <a:off x="0" y="4572000"/>
        <a:ext cx="431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8"/>
    <col collapsed="false" customWidth="true" hidden="false" outlineLevel="0" max="2" min="2" style="0" width="16"/>
    <col collapsed="false" customWidth="true" hidden="false" outlineLevel="0" max="6" min="3" style="0" width="12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  <c r="C3" s="3" t="n">
        <v>2</v>
      </c>
      <c r="D3" s="2" t="str">
        <f aca="false">CHOOSE(C3,"PRUDENT","BASE","OPTIMISTE")</f>
        <v>BASE</v>
      </c>
    </row>
    <row r="4" customFormat="false" ht="15" hidden="false" customHeight="false" outlineLevel="0" collapsed="false">
      <c r="A4" s="0" t="s">
        <v>2</v>
      </c>
      <c r="C4" s="4" t="n">
        <f aca="false">CHOOSE(C3,0.75,1,1.2)</f>
        <v>1</v>
      </c>
    </row>
    <row r="6" customFormat="false" ht="15" hidden="false" customHeight="false" outlineLevel="0" collapsed="false">
      <c r="A6" s="5" t="s">
        <v>3</v>
      </c>
    </row>
    <row r="7" customFormat="false" ht="15" hidden="false" customHeight="false" outlineLevel="0" collapsed="false">
      <c r="A7" s="6" t="s">
        <v>4</v>
      </c>
      <c r="B7" s="6" t="s">
        <v>5</v>
      </c>
    </row>
    <row r="8" customFormat="false" ht="15" hidden="false" customHeight="false" outlineLevel="0" collapsed="false">
      <c r="A8" s="7" t="s">
        <v>6</v>
      </c>
      <c r="B8" s="8" t="n">
        <v>60000</v>
      </c>
    </row>
    <row r="9" customFormat="false" ht="15" hidden="false" customHeight="false" outlineLevel="0" collapsed="false">
      <c r="A9" s="7" t="s">
        <v>7</v>
      </c>
      <c r="B9" s="8" t="n">
        <v>72000</v>
      </c>
    </row>
    <row r="10" customFormat="false" ht="15" hidden="false" customHeight="false" outlineLevel="0" collapsed="false">
      <c r="A10" s="7" t="s">
        <v>8</v>
      </c>
      <c r="B10" s="8" t="n">
        <v>82000</v>
      </c>
    </row>
    <row r="11" customFormat="false" ht="15" hidden="false" customHeight="false" outlineLevel="0" collapsed="false">
      <c r="A11" s="7" t="s">
        <v>9</v>
      </c>
      <c r="B11" s="8" t="n">
        <v>88000</v>
      </c>
    </row>
    <row r="12" customFormat="false" ht="15" hidden="false" customHeight="false" outlineLevel="0" collapsed="false">
      <c r="A12" s="7" t="s">
        <v>10</v>
      </c>
      <c r="B12" s="8" t="n">
        <v>92000</v>
      </c>
    </row>
    <row r="14" customFormat="false" ht="15" hidden="false" customHeight="false" outlineLevel="0" collapsed="false">
      <c r="A14" s="5" t="s">
        <v>11</v>
      </c>
    </row>
    <row r="15" customFormat="false" ht="15" hidden="false" customHeight="false" outlineLevel="0" collapsed="false">
      <c r="A15" s="6" t="s">
        <v>12</v>
      </c>
      <c r="B15" s="6" t="s">
        <v>13</v>
      </c>
    </row>
    <row r="16" customFormat="false" ht="15" hidden="false" customHeight="false" outlineLevel="0" collapsed="false">
      <c r="A16" s="7" t="s">
        <v>14</v>
      </c>
      <c r="B16" s="9" t="n">
        <v>16</v>
      </c>
    </row>
    <row r="17" customFormat="false" ht="15" hidden="false" customHeight="false" outlineLevel="0" collapsed="false">
      <c r="A17" s="7" t="s">
        <v>15</v>
      </c>
      <c r="B17" s="9" t="n">
        <v>8</v>
      </c>
    </row>
    <row r="18" customFormat="false" ht="15" hidden="false" customHeight="false" outlineLevel="0" collapsed="false">
      <c r="A18" s="7" t="s">
        <v>16</v>
      </c>
      <c r="B18" s="10" t="n">
        <v>0.6</v>
      </c>
    </row>
    <row r="19" customFormat="false" ht="15" hidden="false" customHeight="false" outlineLevel="0" collapsed="false">
      <c r="A19" s="7" t="s">
        <v>17</v>
      </c>
      <c r="B19" s="9" t="n">
        <v>5</v>
      </c>
    </row>
    <row r="20" customFormat="false" ht="15" hidden="false" customHeight="false" outlineLevel="0" collapsed="false">
      <c r="A20" s="7" t="s">
        <v>18</v>
      </c>
      <c r="B20" s="10" t="n">
        <v>0.55</v>
      </c>
    </row>
    <row r="21" customFormat="false" ht="15" hidden="false" customHeight="false" outlineLevel="0" collapsed="false">
      <c r="A21" s="7" t="s">
        <v>19</v>
      </c>
      <c r="B21" s="9" t="n">
        <v>280</v>
      </c>
    </row>
    <row r="22" customFormat="false" ht="15" hidden="false" customHeight="false" outlineLevel="0" collapsed="false">
      <c r="A22" s="7" t="s">
        <v>20</v>
      </c>
      <c r="B22" s="9" t="n">
        <v>1800</v>
      </c>
    </row>
    <row r="23" customFormat="false" ht="15" hidden="false" customHeight="false" outlineLevel="0" collapsed="false">
      <c r="A23" s="7" t="s">
        <v>21</v>
      </c>
      <c r="B23" s="9" t="n">
        <v>9</v>
      </c>
    </row>
    <row r="25" customFormat="false" ht="15" hidden="false" customHeight="false" outlineLevel="0" collapsed="false">
      <c r="A25" s="5" t="s">
        <v>22</v>
      </c>
    </row>
    <row r="26" customFormat="false" ht="15" hidden="false" customHeight="false" outlineLevel="0" collapsed="false">
      <c r="A26" s="6" t="s">
        <v>23</v>
      </c>
      <c r="B26" s="6" t="s">
        <v>24</v>
      </c>
      <c r="C26" s="6" t="s">
        <v>25</v>
      </c>
      <c r="D26" s="6" t="s">
        <v>26</v>
      </c>
      <c r="E26" s="6" t="s">
        <v>27</v>
      </c>
      <c r="F26" s="6" t="s">
        <v>28</v>
      </c>
    </row>
    <row r="27" customFormat="false" ht="15" hidden="false" customHeight="false" outlineLevel="0" collapsed="false">
      <c r="A27" s="7" t="s">
        <v>29</v>
      </c>
      <c r="B27" s="8" t="n">
        <v>300</v>
      </c>
      <c r="C27" s="8" t="n">
        <v>360</v>
      </c>
      <c r="D27" s="8" t="n">
        <v>400</v>
      </c>
      <c r="E27" s="8" t="n">
        <v>420</v>
      </c>
      <c r="F27" s="8" t="n">
        <v>440</v>
      </c>
    </row>
    <row r="28" customFormat="false" ht="15" hidden="false" customHeight="false" outlineLevel="0" collapsed="false">
      <c r="A28" s="7" t="s">
        <v>30</v>
      </c>
      <c r="B28" s="8" t="n">
        <v>15</v>
      </c>
      <c r="C28" s="8" t="n">
        <v>22</v>
      </c>
      <c r="D28" s="8" t="n">
        <v>25</v>
      </c>
      <c r="E28" s="8" t="n">
        <v>28</v>
      </c>
      <c r="F28" s="8" t="n">
        <v>30</v>
      </c>
    </row>
    <row r="29" customFormat="false" ht="15" hidden="false" customHeight="false" outlineLevel="0" collapsed="false">
      <c r="A29" s="7" t="s">
        <v>31</v>
      </c>
      <c r="B29" s="8" t="n">
        <v>6000</v>
      </c>
      <c r="C29" s="8" t="n">
        <v>9000</v>
      </c>
      <c r="D29" s="8" t="n">
        <v>10500</v>
      </c>
      <c r="E29" s="8" t="n">
        <v>11500</v>
      </c>
      <c r="F29" s="8" t="n">
        <v>12000</v>
      </c>
    </row>
    <row r="31" customFormat="false" ht="15" hidden="false" customHeight="false" outlineLevel="0" collapsed="false">
      <c r="A31" s="5" t="s">
        <v>32</v>
      </c>
    </row>
    <row r="32" customFormat="false" ht="15" hidden="false" customHeight="false" outlineLevel="0" collapsed="false">
      <c r="A32" s="6" t="s">
        <v>33</v>
      </c>
      <c r="B32" s="6" t="s">
        <v>34</v>
      </c>
      <c r="C32" s="6" t="s">
        <v>35</v>
      </c>
    </row>
    <row r="33" customFormat="false" ht="15" hidden="false" customHeight="false" outlineLevel="0" collapsed="false">
      <c r="A33" s="7" t="s">
        <v>36</v>
      </c>
      <c r="B33" s="8" t="n">
        <v>520</v>
      </c>
      <c r="C33" s="7" t="s">
        <v>37</v>
      </c>
    </row>
    <row r="34" customFormat="false" ht="15" hidden="false" customHeight="false" outlineLevel="0" collapsed="false">
      <c r="A34" s="7" t="s">
        <v>38</v>
      </c>
      <c r="B34" s="8" t="n">
        <v>135</v>
      </c>
      <c r="C34" s="7" t="s">
        <v>39</v>
      </c>
    </row>
    <row r="35" customFormat="false" ht="15" hidden="false" customHeight="false" outlineLevel="0" collapsed="false">
      <c r="A35" s="7" t="s">
        <v>40</v>
      </c>
      <c r="B35" s="8" t="n">
        <v>42</v>
      </c>
      <c r="C35" s="7" t="s">
        <v>39</v>
      </c>
    </row>
    <row r="36" customFormat="false" ht="15" hidden="false" customHeight="false" outlineLevel="0" collapsed="false">
      <c r="A36" s="7" t="s">
        <v>41</v>
      </c>
      <c r="B36" s="8" t="n">
        <v>75</v>
      </c>
      <c r="C36" s="7" t="s">
        <v>39</v>
      </c>
    </row>
    <row r="37" customFormat="false" ht="15" hidden="false" customHeight="false" outlineLevel="0" collapsed="false">
      <c r="A37" s="7" t="s">
        <v>42</v>
      </c>
      <c r="B37" s="8" t="n">
        <v>55</v>
      </c>
      <c r="C37" s="7" t="s">
        <v>39</v>
      </c>
    </row>
    <row r="38" customFormat="false" ht="15" hidden="false" customHeight="false" outlineLevel="0" collapsed="false">
      <c r="A38" s="7" t="s">
        <v>43</v>
      </c>
      <c r="B38" s="8" t="n">
        <v>18</v>
      </c>
      <c r="C38" s="7" t="s">
        <v>39</v>
      </c>
    </row>
    <row r="39" customFormat="false" ht="15" hidden="false" customHeight="false" outlineLevel="0" collapsed="false">
      <c r="A39" s="7" t="s">
        <v>44</v>
      </c>
      <c r="B39" s="8" t="n">
        <v>16</v>
      </c>
      <c r="C39" s="7" t="s">
        <v>39</v>
      </c>
    </row>
    <row r="40" customFormat="false" ht="15" hidden="false" customHeight="false" outlineLevel="0" collapsed="false">
      <c r="A40" s="7" t="s">
        <v>45</v>
      </c>
      <c r="B40" s="8" t="n">
        <v>20</v>
      </c>
      <c r="C40" s="7" t="s">
        <v>39</v>
      </c>
    </row>
    <row r="41" customFormat="false" ht="15" hidden="false" customHeight="false" outlineLevel="0" collapsed="false">
      <c r="A41" s="7" t="s">
        <v>46</v>
      </c>
      <c r="B41" s="8" t="n">
        <v>30</v>
      </c>
      <c r="C41" s="7" t="s">
        <v>39</v>
      </c>
    </row>
    <row r="43" customFormat="false" ht="15" hidden="false" customHeight="false" outlineLevel="0" collapsed="false">
      <c r="A43" s="11" t="s">
        <v>47</v>
      </c>
      <c r="B43" s="10" t="n">
        <v>0.32</v>
      </c>
    </row>
    <row r="44" customFormat="false" ht="15" hidden="false" customHeight="false" outlineLevel="0" collapsed="false">
      <c r="A44" s="11" t="s">
        <v>48</v>
      </c>
      <c r="B44" s="10" t="n">
        <v>0.2</v>
      </c>
    </row>
    <row r="45" customFormat="false" ht="15" hidden="false" customHeight="false" outlineLevel="0" collapsed="false">
      <c r="A45" s="11" t="s">
        <v>49</v>
      </c>
      <c r="B45" s="10" t="n">
        <v>0.25</v>
      </c>
    </row>
    <row r="46" customFormat="false" ht="15" hidden="false" customHeight="false" outlineLevel="0" collapsed="false">
      <c r="A46" s="11" t="s">
        <v>50</v>
      </c>
      <c r="B46" s="12" t="n">
        <v>0.025</v>
      </c>
    </row>
    <row r="47" customFormat="false" ht="15" hidden="false" customHeight="false" outlineLevel="0" collapsed="false">
      <c r="A47" s="11" t="s">
        <v>51</v>
      </c>
      <c r="B47" s="10" t="n">
        <v>0.12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6" min="2" style="0" width="14"/>
  </cols>
  <sheetData>
    <row r="1" customFormat="false" ht="15" hidden="false" customHeight="false" outlineLevel="0" collapsed="false">
      <c r="A1" s="1" t="s">
        <v>52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tr">
        <f aca="false">"Scénario actif : "&amp;Hypothèses!D3</f>
        <v>Scénario actif : BASE</v>
      </c>
    </row>
    <row r="4" customFormat="false" ht="15" hidden="false" customHeight="false" outlineLevel="0" collapsed="false">
      <c r="A4" s="6" t="s">
        <v>53</v>
      </c>
      <c r="B4" s="6" t="s">
        <v>54</v>
      </c>
      <c r="C4" s="6" t="s">
        <v>7</v>
      </c>
      <c r="D4" s="6" t="s">
        <v>55</v>
      </c>
      <c r="E4" s="6" t="s">
        <v>9</v>
      </c>
      <c r="F4" s="6" t="s">
        <v>10</v>
      </c>
    </row>
    <row r="5" customFormat="false" ht="15" hidden="false" customHeight="false" outlineLevel="0" collapsed="false">
      <c r="A5" s="7" t="s">
        <v>56</v>
      </c>
      <c r="B5" s="13" t="n">
        <f aca="false">Hypothèses!B8*Hypothèses!$C$4</f>
        <v>60000</v>
      </c>
      <c r="C5" s="13" t="n">
        <f aca="false">Hypothèses!B9*Hypothèses!$C$4</f>
        <v>72000</v>
      </c>
      <c r="D5" s="13" t="n">
        <f aca="false">Hypothèses!B10*Hypothèses!$C$4</f>
        <v>82000</v>
      </c>
      <c r="E5" s="13" t="n">
        <f aca="false">Hypothèses!B11*Hypothèses!$C$4</f>
        <v>88000</v>
      </c>
      <c r="F5" s="13" t="n">
        <f aca="false">Hypothèses!B12*Hypothèses!$C$4</f>
        <v>92000</v>
      </c>
    </row>
    <row r="6" customFormat="false" ht="15" hidden="false" customHeight="false" outlineLevel="0" collapsed="false">
      <c r="A6" s="7" t="s">
        <v>57</v>
      </c>
      <c r="B6" s="14" t="n">
        <f aca="false">(Hypothèses!B18*Hypothèses!B16+(1-Hypothèses!B18)*Hypothèses!B17)/(1+Hypothèses!B47)</f>
        <v>11.4285714285714</v>
      </c>
      <c r="C6" s="7"/>
      <c r="D6" s="7"/>
      <c r="E6" s="7"/>
      <c r="F6" s="7"/>
    </row>
    <row r="7" customFormat="false" ht="15" hidden="false" customHeight="false" outlineLevel="0" collapsed="false">
      <c r="A7" s="7" t="s">
        <v>58</v>
      </c>
      <c r="B7" s="15" t="n">
        <f aca="false">B5*$B$6</f>
        <v>685714.285714286</v>
      </c>
      <c r="C7" s="15" t="n">
        <f aca="false">C5*$B$6</f>
        <v>822857.142857143</v>
      </c>
      <c r="D7" s="15" t="n">
        <f aca="false">D5*$B$6</f>
        <v>937142.857142857</v>
      </c>
      <c r="E7" s="15" t="n">
        <f aca="false">E5*$B$6</f>
        <v>1005714.28571429</v>
      </c>
      <c r="F7" s="15" t="n">
        <f aca="false">F5*$B$6</f>
        <v>1051428.57142857</v>
      </c>
    </row>
    <row r="8" customFormat="false" ht="15" hidden="false" customHeight="false" outlineLevel="0" collapsed="false">
      <c r="A8" s="7" t="s">
        <v>59</v>
      </c>
      <c r="B8" s="15" t="n">
        <f aca="false">B5*Hypothèses!$B$20*Hypothèses!$B$19/(1+Hypothèses!$B$47)</f>
        <v>147321.428571429</v>
      </c>
      <c r="C8" s="15" t="n">
        <f aca="false">C5*Hypothèses!$B$20*Hypothèses!$B$19/(1+Hypothèses!$B$47)</f>
        <v>176785.714285714</v>
      </c>
      <c r="D8" s="15" t="n">
        <f aca="false">D5*Hypothèses!$B$20*Hypothèses!$B$19/(1+Hypothèses!$B$47)</f>
        <v>201339.285714286</v>
      </c>
      <c r="E8" s="15" t="n">
        <f aca="false">E5*Hypothèses!$B$20*Hypothèses!$B$19/(1+Hypothèses!$B$47)</f>
        <v>216071.428571429</v>
      </c>
      <c r="F8" s="15" t="n">
        <f aca="false">F5*Hypothèses!$B$20*Hypothèses!$B$19/(1+Hypothèses!$B$47)</f>
        <v>225892.857142857</v>
      </c>
    </row>
    <row r="9" customFormat="false" ht="15" hidden="false" customHeight="false" outlineLevel="0" collapsed="false">
      <c r="A9" s="7" t="s">
        <v>60</v>
      </c>
      <c r="B9" s="15" t="n">
        <f aca="false">Hypothèses!B27*Hypothèses!$C$4*Hypothèses!$B$21/(1+Hypothèses!$B$47)</f>
        <v>75000</v>
      </c>
      <c r="C9" s="15" t="n">
        <f aca="false">Hypothèses!C27*Hypothèses!$C$4*Hypothèses!$B$21/(1+Hypothèses!$B$47)</f>
        <v>90000</v>
      </c>
      <c r="D9" s="15" t="n">
        <f aca="false">Hypothèses!D27*Hypothèses!$C$4*Hypothèses!$B$21/(1+Hypothèses!$B$47)</f>
        <v>100000</v>
      </c>
      <c r="E9" s="15" t="n">
        <f aca="false">Hypothèses!E27*Hypothèses!$C$4*Hypothèses!$B$21/(1+Hypothèses!$B$47)</f>
        <v>105000</v>
      </c>
      <c r="F9" s="15" t="n">
        <f aca="false">Hypothèses!F27*Hypothèses!$C$4*Hypothèses!$B$21/(1+Hypothèses!$B$47)</f>
        <v>110000</v>
      </c>
    </row>
    <row r="10" customFormat="false" ht="15" hidden="false" customHeight="false" outlineLevel="0" collapsed="false">
      <c r="A10" s="7" t="s">
        <v>61</v>
      </c>
      <c r="B10" s="15" t="n">
        <f aca="false">Hypothèses!B28*Hypothèses!$B$22</f>
        <v>27000</v>
      </c>
      <c r="C10" s="15" t="n">
        <f aca="false">Hypothèses!C28*Hypothèses!$B$22</f>
        <v>39600</v>
      </c>
      <c r="D10" s="15" t="n">
        <f aca="false">Hypothèses!D28*Hypothèses!$B$22</f>
        <v>45000</v>
      </c>
      <c r="E10" s="15" t="n">
        <f aca="false">Hypothèses!E28*Hypothèses!$B$22</f>
        <v>50400</v>
      </c>
      <c r="F10" s="15" t="n">
        <f aca="false">Hypothèses!F28*Hypothèses!$B$22</f>
        <v>54000</v>
      </c>
    </row>
    <row r="11" customFormat="false" ht="15" hidden="false" customHeight="false" outlineLevel="0" collapsed="false">
      <c r="A11" s="7" t="s">
        <v>62</v>
      </c>
      <c r="B11" s="15" t="n">
        <f aca="false">Hypothèses!B29*Hypothèses!$B$23/(1+Hypothèses!$B$47)</f>
        <v>48214.2857142857</v>
      </c>
      <c r="C11" s="15" t="n">
        <f aca="false">Hypothèses!C29*Hypothèses!$B$23/(1+Hypothèses!$B$47)</f>
        <v>72321.4285714286</v>
      </c>
      <c r="D11" s="15" t="n">
        <f aca="false">Hypothèses!D29*Hypothèses!$B$23/(1+Hypothèses!$B$47)</f>
        <v>84375</v>
      </c>
      <c r="E11" s="15" t="n">
        <f aca="false">Hypothèses!E29*Hypothèses!$B$23/(1+Hypothèses!$B$47)</f>
        <v>92410.7142857143</v>
      </c>
      <c r="F11" s="15" t="n">
        <f aca="false">Hypothèses!F29*Hypothèses!$B$23/(1+Hypothèses!$B$47)</f>
        <v>96428.5714285714</v>
      </c>
    </row>
    <row r="12" customFormat="false" ht="15" hidden="false" customHeight="false" outlineLevel="0" collapsed="false">
      <c r="A12" s="16" t="s">
        <v>63</v>
      </c>
      <c r="B12" s="17" t="n">
        <f aca="false">SUM(B7:B11)</f>
        <v>983250</v>
      </c>
      <c r="C12" s="17" t="n">
        <f aca="false">SUM(C7:C11)</f>
        <v>1201564.28571429</v>
      </c>
      <c r="D12" s="17" t="n">
        <f aca="false">SUM(D7:D11)</f>
        <v>1367857.14285714</v>
      </c>
      <c r="E12" s="17" t="n">
        <f aca="false">SUM(E7:E11)</f>
        <v>1469596.42857143</v>
      </c>
      <c r="F12" s="17" t="n">
        <f aca="false">SUM(F7:F11)</f>
        <v>1537750</v>
      </c>
    </row>
    <row r="14" customFormat="false" ht="15" hidden="false" customHeight="false" outlineLevel="0" collapsed="false">
      <c r="A14" s="5" t="s">
        <v>64</v>
      </c>
    </row>
    <row r="15" customFormat="false" ht="15" hidden="false" customHeight="false" outlineLevel="0" collapsed="false">
      <c r="A15" s="0" t="s">
        <v>58</v>
      </c>
      <c r="B15" s="18" t="n">
        <f aca="false">D7/D12</f>
        <v>0.685117493472585</v>
      </c>
    </row>
    <row r="16" customFormat="false" ht="15" hidden="false" customHeight="false" outlineLevel="0" collapsed="false">
      <c r="A16" s="0" t="s">
        <v>65</v>
      </c>
      <c r="B16" s="18" t="n">
        <f aca="false">D8/D12</f>
        <v>0.147193211488251</v>
      </c>
    </row>
    <row r="17" customFormat="false" ht="15" hidden="false" customHeight="false" outlineLevel="0" collapsed="false">
      <c r="A17" s="0" t="s">
        <v>66</v>
      </c>
      <c r="B17" s="18" t="n">
        <f aca="false">D9/D12</f>
        <v>0.0731070496083551</v>
      </c>
    </row>
    <row r="18" customFormat="false" ht="15" hidden="false" customHeight="false" outlineLevel="0" collapsed="false">
      <c r="A18" s="0" t="s">
        <v>67</v>
      </c>
      <c r="B18" s="18" t="n">
        <f aca="false">D10/D12</f>
        <v>0.0328981723237598</v>
      </c>
    </row>
    <row r="19" customFormat="false" ht="15" hidden="false" customHeight="false" outlineLevel="0" collapsed="false">
      <c r="A19" s="0" t="s">
        <v>68</v>
      </c>
      <c r="B19" s="18" t="n">
        <f aca="false">D11/D12</f>
        <v>0.0616840731070496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6" min="2" style="0" width="14"/>
  </cols>
  <sheetData>
    <row r="1" customFormat="false" ht="15" hidden="false" customHeight="false" outlineLevel="0" collapsed="false">
      <c r="A1" s="1" t="s">
        <v>69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6" t="s">
        <v>33</v>
      </c>
      <c r="B3" s="6" t="s">
        <v>54</v>
      </c>
      <c r="C3" s="6" t="s">
        <v>7</v>
      </c>
      <c r="D3" s="6" t="s">
        <v>55</v>
      </c>
      <c r="E3" s="6" t="s">
        <v>9</v>
      </c>
      <c r="F3" s="6" t="s">
        <v>10</v>
      </c>
    </row>
    <row r="4" customFormat="false" ht="15" hidden="false" customHeight="false" outlineLevel="0" collapsed="false">
      <c r="A4" s="16" t="s">
        <v>70</v>
      </c>
      <c r="B4" s="15" t="n">
        <f aca="false">Revenus!B12</f>
        <v>983250</v>
      </c>
      <c r="C4" s="15" t="n">
        <f aca="false">Revenus!C12</f>
        <v>1201564.28571429</v>
      </c>
      <c r="D4" s="15" t="n">
        <f aca="false">Revenus!D12</f>
        <v>1367857.14285714</v>
      </c>
      <c r="E4" s="15" t="n">
        <f aca="false">Revenus!E12</f>
        <v>1469596.42857143</v>
      </c>
      <c r="F4" s="15" t="n">
        <f aca="false">Revenus!F12</f>
        <v>1537750</v>
      </c>
    </row>
    <row r="5" customFormat="false" ht="15" hidden="false" customHeight="false" outlineLevel="0" collapsed="false">
      <c r="A5" s="7" t="s">
        <v>71</v>
      </c>
      <c r="B5" s="15" t="n">
        <f aca="false">-(Revenus!B8*Hypothèses!$B$43+Revenus!B9*Hypothèses!$B$44)</f>
        <v>-62142.8571428571</v>
      </c>
      <c r="C5" s="15" t="n">
        <f aca="false">-(Revenus!C8*Hypothèses!$B$43+Revenus!C9*Hypothèses!$B$44)</f>
        <v>-74571.4285714286</v>
      </c>
      <c r="D5" s="15" t="n">
        <f aca="false">-(Revenus!D8*Hypothèses!$B$43+Revenus!D9*Hypothèses!$B$44)</f>
        <v>-84428.5714285714</v>
      </c>
      <c r="E5" s="15" t="n">
        <f aca="false">-(Revenus!E8*Hypothèses!$B$43+Revenus!E9*Hypothèses!$B$44)</f>
        <v>-90142.8571428571</v>
      </c>
      <c r="F5" s="15" t="n">
        <f aca="false">-(Revenus!F8*Hypothèses!$B$43+Revenus!F9*Hypothèses!$B$44)</f>
        <v>-94285.7142857143</v>
      </c>
    </row>
    <row r="6" customFormat="false" ht="15" hidden="false" customHeight="false" outlineLevel="0" collapsed="false">
      <c r="A6" s="16" t="s">
        <v>72</v>
      </c>
      <c r="B6" s="15" t="n">
        <f aca="false">B4+B5</f>
        <v>921107.142857143</v>
      </c>
      <c r="C6" s="15" t="n">
        <f aca="false">C4+C5</f>
        <v>1126992.85714286</v>
      </c>
      <c r="D6" s="15" t="n">
        <f aca="false">D4+D5</f>
        <v>1283428.57142857</v>
      </c>
      <c r="E6" s="15" t="n">
        <f aca="false">E4+E5</f>
        <v>1379453.57142857</v>
      </c>
      <c r="F6" s="15" t="n">
        <f aca="false">F4+F5</f>
        <v>1443464.28571429</v>
      </c>
    </row>
    <row r="7" customFormat="false" ht="15" hidden="false" customHeight="false" outlineLevel="0" collapsed="false">
      <c r="A7" s="7" t="s">
        <v>73</v>
      </c>
      <c r="B7" s="15" t="n">
        <f aca="false">-(Hypothèses!$B$33*(1-Hypothèses!$B$45)*(1+Hypothèses!$B$46)^0+Hypothèses!$B$33*Hypothèses!$B$45*Hypothèses!$C$4*(1+Hypothèses!$B$46)^0)*1000</f>
        <v>-520000</v>
      </c>
      <c r="C7" s="15" t="n">
        <f aca="false">-(Hypothèses!$B$33*(1-Hypothèses!$B$45)*(1+Hypothèses!$B$46)^1+Hypothèses!$B$33*Hypothèses!$B$45*Hypothèses!$C$4*(1+Hypothèses!$B$46)^1)*1000</f>
        <v>-533000</v>
      </c>
      <c r="D7" s="15" t="n">
        <f aca="false">-(Hypothèses!$B$33*(1-Hypothèses!$B$45)*(1+Hypothèses!$B$46)^2+Hypothèses!$B$33*Hypothèses!$B$45*Hypothèses!$C$4*(1+Hypothèses!$B$46)^2)*1000</f>
        <v>-546325</v>
      </c>
      <c r="E7" s="15" t="n">
        <f aca="false">-(Hypothèses!$B$33*(1-Hypothèses!$B$45)*(1+Hypothèses!$B$46)^3+Hypothèses!$B$33*Hypothèses!$B$45*Hypothèses!$C$4*(1+Hypothèses!$B$46)^3)*1000</f>
        <v>-559983.125</v>
      </c>
      <c r="F7" s="15" t="n">
        <f aca="false">-(Hypothèses!$B$33*(1-Hypothèses!$B$45)*(1+Hypothèses!$B$46)^4+Hypothèses!$B$33*Hypothèses!$B$45*Hypothèses!$C$4*(1+Hypothèses!$B$46)^4)*1000</f>
        <v>-573982.703125</v>
      </c>
    </row>
    <row r="8" customFormat="false" ht="15" hidden="false" customHeight="false" outlineLevel="0" collapsed="false">
      <c r="A8" s="7" t="s">
        <v>74</v>
      </c>
      <c r="B8" s="15" t="n">
        <f aca="false">-Hypothèses!$B$34*(1+Hypothèses!$B$46)^0*1000</f>
        <v>-135000</v>
      </c>
      <c r="C8" s="15" t="n">
        <f aca="false">-Hypothèses!$B$34*(1+Hypothèses!$B$46)^1*1000</f>
        <v>-138375</v>
      </c>
      <c r="D8" s="15" t="n">
        <f aca="false">-Hypothèses!$B$34*(1+Hypothèses!$B$46)^2*1000</f>
        <v>-141834.375</v>
      </c>
      <c r="E8" s="15" t="n">
        <f aca="false">-Hypothèses!$B$34*(1+Hypothèses!$B$46)^3*1000</f>
        <v>-145380.234375</v>
      </c>
      <c r="F8" s="15" t="n">
        <f aca="false">-Hypothèses!$B$34*(1+Hypothèses!$B$46)^4*1000</f>
        <v>-149014.740234375</v>
      </c>
    </row>
    <row r="9" customFormat="false" ht="15" hidden="false" customHeight="false" outlineLevel="0" collapsed="false">
      <c r="A9" s="7" t="s">
        <v>40</v>
      </c>
      <c r="B9" s="15" t="n">
        <f aca="false">-Hypothèses!$B$35*(1+Hypothèses!$B$46)^0*1000</f>
        <v>-42000</v>
      </c>
      <c r="C9" s="15" t="n">
        <f aca="false">-Hypothèses!$B$35*(1+Hypothèses!$B$46)^1*1000</f>
        <v>-43050</v>
      </c>
      <c r="D9" s="15" t="n">
        <f aca="false">-Hypothèses!$B$35*(1+Hypothèses!$B$46)^2*1000</f>
        <v>-44126.25</v>
      </c>
      <c r="E9" s="15" t="n">
        <f aca="false">-Hypothèses!$B$35*(1+Hypothèses!$B$46)^3*1000</f>
        <v>-45229.40625</v>
      </c>
      <c r="F9" s="15" t="n">
        <f aca="false">-Hypothèses!$B$35*(1+Hypothèses!$B$46)^4*1000</f>
        <v>-46360.14140625</v>
      </c>
    </row>
    <row r="10" customFormat="false" ht="15" hidden="false" customHeight="false" outlineLevel="0" collapsed="false">
      <c r="A10" s="7" t="s">
        <v>75</v>
      </c>
      <c r="B10" s="15" t="n">
        <f aca="false">-Hypothèses!$B$36*(1+Hypothèses!$B$46)^0*1000</f>
        <v>-75000</v>
      </c>
      <c r="C10" s="15" t="n">
        <f aca="false">-Hypothèses!$B$36*(1+Hypothèses!$B$46)^1*1000</f>
        <v>-76875</v>
      </c>
      <c r="D10" s="15" t="n">
        <f aca="false">-Hypothèses!$B$36*(1+Hypothèses!$B$46)^2*1000</f>
        <v>-78796.875</v>
      </c>
      <c r="E10" s="15" t="n">
        <f aca="false">-Hypothèses!$B$36*(1+Hypothèses!$B$46)^3*1000</f>
        <v>-80766.796875</v>
      </c>
      <c r="F10" s="15" t="n">
        <f aca="false">-Hypothèses!$B$36*(1+Hypothèses!$B$46)^4*1000</f>
        <v>-82785.966796875</v>
      </c>
    </row>
    <row r="11" customFormat="false" ht="15" hidden="false" customHeight="false" outlineLevel="0" collapsed="false">
      <c r="A11" s="7" t="s">
        <v>76</v>
      </c>
      <c r="B11" s="15" t="n">
        <f aca="false">-Hypothèses!$B$37*(1+Hypothèses!$B$46)^0*1000</f>
        <v>-55000</v>
      </c>
      <c r="C11" s="15" t="n">
        <f aca="false">-Hypothèses!$B$37*(1+Hypothèses!$B$46)^1*1000</f>
        <v>-56375</v>
      </c>
      <c r="D11" s="15" t="n">
        <f aca="false">-Hypothèses!$B$37*(1+Hypothèses!$B$46)^2*1000</f>
        <v>-57784.375</v>
      </c>
      <c r="E11" s="15" t="n">
        <f aca="false">-Hypothèses!$B$37*(1+Hypothèses!$B$46)^3*1000</f>
        <v>-59228.984375</v>
      </c>
      <c r="F11" s="15" t="n">
        <f aca="false">-Hypothèses!$B$37*(1+Hypothèses!$B$46)^4*1000</f>
        <v>-60709.708984375</v>
      </c>
    </row>
    <row r="12" customFormat="false" ht="15" hidden="false" customHeight="false" outlineLevel="0" collapsed="false">
      <c r="A12" s="7" t="s">
        <v>77</v>
      </c>
      <c r="B12" s="15" t="n">
        <f aca="false">-Hypothèses!$B$38*(1+Hypothèses!$B$46)^0*1000</f>
        <v>-18000</v>
      </c>
      <c r="C12" s="15" t="n">
        <f aca="false">-Hypothèses!$B$38*(1+Hypothèses!$B$46)^1*1000</f>
        <v>-18450</v>
      </c>
      <c r="D12" s="15" t="n">
        <f aca="false">-Hypothèses!$B$38*(1+Hypothèses!$B$46)^2*1000</f>
        <v>-18911.25</v>
      </c>
      <c r="E12" s="15" t="n">
        <f aca="false">-Hypothèses!$B$38*(1+Hypothèses!$B$46)^3*1000</f>
        <v>-19384.03125</v>
      </c>
      <c r="F12" s="15" t="n">
        <f aca="false">-Hypothèses!$B$38*(1+Hypothèses!$B$46)^4*1000</f>
        <v>-19868.63203125</v>
      </c>
    </row>
    <row r="13" customFormat="false" ht="15" hidden="false" customHeight="false" outlineLevel="0" collapsed="false">
      <c r="A13" s="7" t="s">
        <v>78</v>
      </c>
      <c r="B13" s="15" t="n">
        <f aca="false">-Hypothèses!$B$39*(1+Hypothèses!$B$46)^0*1000</f>
        <v>-16000</v>
      </c>
      <c r="C13" s="15" t="n">
        <f aca="false">-Hypothèses!$B$39*(1+Hypothèses!$B$46)^1*1000</f>
        <v>-16400</v>
      </c>
      <c r="D13" s="15" t="n">
        <f aca="false">-Hypothèses!$B$39*(1+Hypothèses!$B$46)^2*1000</f>
        <v>-16810</v>
      </c>
      <c r="E13" s="15" t="n">
        <f aca="false">-Hypothèses!$B$39*(1+Hypothèses!$B$46)^3*1000</f>
        <v>-17230.25</v>
      </c>
      <c r="F13" s="15" t="n">
        <f aca="false">-Hypothèses!$B$39*(1+Hypothèses!$B$46)^4*1000</f>
        <v>-17661.00625</v>
      </c>
    </row>
    <row r="14" customFormat="false" ht="15" hidden="false" customHeight="false" outlineLevel="0" collapsed="false">
      <c r="A14" s="7" t="s">
        <v>79</v>
      </c>
      <c r="B14" s="15" t="n">
        <f aca="false">-Hypothèses!$B$40*(1+Hypothèses!$B$46)^0*1000</f>
        <v>-20000</v>
      </c>
      <c r="C14" s="15" t="n">
        <f aca="false">-Hypothèses!$B$40*(1+Hypothèses!$B$46)^1*1000</f>
        <v>-20500</v>
      </c>
      <c r="D14" s="15" t="n">
        <f aca="false">-Hypothèses!$B$40*(1+Hypothèses!$B$46)^2*1000</f>
        <v>-21012.5</v>
      </c>
      <c r="E14" s="15" t="n">
        <f aca="false">-Hypothèses!$B$40*(1+Hypothèses!$B$46)^3*1000</f>
        <v>-21537.8125</v>
      </c>
      <c r="F14" s="15" t="n">
        <f aca="false">-Hypothèses!$B$40*(1+Hypothèses!$B$46)^4*1000</f>
        <v>-22076.2578125</v>
      </c>
    </row>
    <row r="15" customFormat="false" ht="15" hidden="false" customHeight="false" outlineLevel="0" collapsed="false">
      <c r="A15" s="7" t="s">
        <v>80</v>
      </c>
      <c r="B15" s="15" t="n">
        <f aca="false">-Hypothèses!$B$41*(1+Hypothèses!$B$46)^0*1000</f>
        <v>-30000</v>
      </c>
      <c r="C15" s="15" t="n">
        <f aca="false">-Hypothèses!$B$41*(1+Hypothèses!$B$46)^1*1000</f>
        <v>-30750</v>
      </c>
      <c r="D15" s="15" t="n">
        <f aca="false">-Hypothèses!$B$41*(1+Hypothèses!$B$46)^2*1000</f>
        <v>-31518.75</v>
      </c>
      <c r="E15" s="15" t="n">
        <f aca="false">-Hypothèses!$B$41*(1+Hypothèses!$B$46)^3*1000</f>
        <v>-32306.71875</v>
      </c>
      <c r="F15" s="15" t="n">
        <f aca="false">-Hypothèses!$B$41*(1+Hypothèses!$B$46)^4*1000</f>
        <v>-33114.38671875</v>
      </c>
    </row>
    <row r="16" customFormat="false" ht="15" hidden="false" customHeight="false" outlineLevel="0" collapsed="false">
      <c r="A16" s="16" t="s">
        <v>81</v>
      </c>
      <c r="B16" s="15" t="n">
        <f aca="false">SUM(B7:B15)</f>
        <v>-911000</v>
      </c>
      <c r="C16" s="15" t="n">
        <f aca="false">SUM(C7:C15)</f>
        <v>-933775</v>
      </c>
      <c r="D16" s="15" t="n">
        <f aca="false">SUM(D7:D15)</f>
        <v>-957119.375</v>
      </c>
      <c r="E16" s="15" t="n">
        <f aca="false">SUM(E7:E15)</f>
        <v>-981047.359375</v>
      </c>
      <c r="F16" s="15" t="n">
        <f aca="false">SUM(F7:F15)</f>
        <v>-1005573.54335937</v>
      </c>
    </row>
    <row r="17" customFormat="false" ht="15" hidden="false" customHeight="false" outlineLevel="0" collapsed="false">
      <c r="A17" s="19" t="s">
        <v>82</v>
      </c>
      <c r="B17" s="20" t="n">
        <f aca="false">B6+B16</f>
        <v>10107.1428571428</v>
      </c>
      <c r="C17" s="20" t="n">
        <f aca="false">C6+C16</f>
        <v>193217.857142857</v>
      </c>
      <c r="D17" s="20" t="n">
        <f aca="false">D6+D16</f>
        <v>326309.196428572</v>
      </c>
      <c r="E17" s="20" t="n">
        <f aca="false">E6+E16</f>
        <v>398406.212053572</v>
      </c>
      <c r="F17" s="20" t="n">
        <f aca="false">F6+F16</f>
        <v>437890.742354911</v>
      </c>
    </row>
    <row r="18" customFormat="false" ht="15" hidden="false" customHeight="false" outlineLevel="0" collapsed="false">
      <c r="A18" s="7" t="s">
        <v>83</v>
      </c>
      <c r="B18" s="21" t="n">
        <f aca="false">B17/B4</f>
        <v>0.0102793214921361</v>
      </c>
      <c r="C18" s="21" t="n">
        <f aca="false">C17/C4</f>
        <v>0.160805259810128</v>
      </c>
      <c r="D18" s="21" t="n">
        <f aca="false">D17/D4</f>
        <v>0.238555026109661</v>
      </c>
      <c r="E18" s="21" t="n">
        <f aca="false">E17/E4</f>
        <v>0.271099061148955</v>
      </c>
      <c r="F18" s="21" t="n">
        <f aca="false">F17/F4</f>
        <v>0.284760684347203</v>
      </c>
    </row>
    <row r="19" customFormat="false" ht="15" hidden="false" customHeight="false" outlineLevel="0" collapsed="false">
      <c r="A19" s="7" t="s">
        <v>84</v>
      </c>
      <c r="B19" s="15" t="n">
        <f aca="false">-150000</f>
        <v>-150000</v>
      </c>
      <c r="C19" s="15" t="n">
        <f aca="false">-150000</f>
        <v>-150000</v>
      </c>
      <c r="D19" s="15" t="n">
        <f aca="false">-150000</f>
        <v>-150000</v>
      </c>
      <c r="E19" s="15" t="n">
        <f aca="false">-150000</f>
        <v>-150000</v>
      </c>
      <c r="F19" s="15" t="n">
        <f aca="false">-150000</f>
        <v>-150000</v>
      </c>
    </row>
    <row r="20" customFormat="false" ht="15" hidden="false" customHeight="false" outlineLevel="0" collapsed="false">
      <c r="A20" s="16" t="s">
        <v>85</v>
      </c>
      <c r="B20" s="15" t="n">
        <f aca="false">B17+B19</f>
        <v>-139892.857142857</v>
      </c>
      <c r="C20" s="15" t="n">
        <f aca="false">C17+C19</f>
        <v>43217.857142857</v>
      </c>
      <c r="D20" s="15" t="n">
        <f aca="false">D17+D19</f>
        <v>176309.196428571</v>
      </c>
      <c r="E20" s="15" t="n">
        <f aca="false">E17+E19</f>
        <v>248406.212053572</v>
      </c>
      <c r="F20" s="15" t="n">
        <f aca="false">F17+F19</f>
        <v>287890.742354911</v>
      </c>
    </row>
    <row r="21" customFormat="false" ht="15" hidden="false" customHeight="false" outlineLevel="0" collapsed="false">
      <c r="A21" s="7" t="s">
        <v>86</v>
      </c>
      <c r="B21" s="15" t="n">
        <f aca="false">-MAX(B20,0)*0.25</f>
        <v>-0</v>
      </c>
      <c r="C21" s="15" t="n">
        <f aca="false">-MAX(C20,0)*0.25</f>
        <v>-10804.4642857143</v>
      </c>
      <c r="D21" s="15" t="n">
        <f aca="false">-MAX(D20,0)*0.25</f>
        <v>-44077.2991071429</v>
      </c>
      <c r="E21" s="15" t="n">
        <f aca="false">-MAX(E20,0)*0.25</f>
        <v>-62101.553013393</v>
      </c>
      <c r="F21" s="15" t="n">
        <f aca="false">-MAX(F20,0)*0.25</f>
        <v>-71972.6855887278</v>
      </c>
    </row>
    <row r="22" customFormat="false" ht="15" hidden="false" customHeight="false" outlineLevel="0" collapsed="false">
      <c r="A22" s="19" t="s">
        <v>87</v>
      </c>
      <c r="B22" s="20" t="n">
        <f aca="false">B20+B21</f>
        <v>-139892.857142857</v>
      </c>
      <c r="C22" s="20" t="n">
        <f aca="false">C20+C21</f>
        <v>32413.3928571428</v>
      </c>
      <c r="D22" s="20" t="n">
        <f aca="false">D20+D21</f>
        <v>132231.897321429</v>
      </c>
      <c r="E22" s="20" t="n">
        <f aca="false">E20+E21</f>
        <v>186304.659040179</v>
      </c>
      <c r="F22" s="20" t="n">
        <f aca="false">F20+F21</f>
        <v>215918.056766183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2"/>
    <col collapsed="false" customWidth="true" hidden="false" outlineLevel="0" max="2" min="2" style="0" width="16"/>
  </cols>
  <sheetData>
    <row r="1" customFormat="false" ht="15" hidden="false" customHeight="false" outlineLevel="0" collapsed="false">
      <c r="A1" s="1" t="s">
        <v>88</v>
      </c>
      <c r="B1" s="1"/>
      <c r="C1" s="1"/>
      <c r="D1" s="1"/>
    </row>
    <row r="3" customFormat="false" ht="15" hidden="false" customHeight="false" outlineLevel="0" collapsed="false">
      <c r="A3" s="6" t="s">
        <v>89</v>
      </c>
      <c r="B3" s="6" t="s">
        <v>90</v>
      </c>
    </row>
    <row r="4" customFormat="false" ht="15" hidden="false" customHeight="false" outlineLevel="0" collapsed="false">
      <c r="A4" s="7" t="s">
        <v>91</v>
      </c>
      <c r="B4" s="22" t="n">
        <v>675000</v>
      </c>
    </row>
    <row r="5" customFormat="false" ht="15" hidden="false" customHeight="false" outlineLevel="0" collapsed="false">
      <c r="A5" s="7" t="s">
        <v>92</v>
      </c>
      <c r="B5" s="22" t="n">
        <v>240000</v>
      </c>
    </row>
    <row r="6" customFormat="false" ht="15" hidden="false" customHeight="false" outlineLevel="0" collapsed="false">
      <c r="A6" s="7" t="s">
        <v>93</v>
      </c>
      <c r="B6" s="22" t="n">
        <v>85000</v>
      </c>
    </row>
    <row r="7" customFormat="false" ht="15" hidden="false" customHeight="false" outlineLevel="0" collapsed="false">
      <c r="A7" s="7" t="s">
        <v>94</v>
      </c>
      <c r="B7" s="22" t="n">
        <v>55000</v>
      </c>
    </row>
    <row r="8" customFormat="false" ht="15" hidden="false" customHeight="false" outlineLevel="0" collapsed="false">
      <c r="A8" s="7" t="s">
        <v>95</v>
      </c>
      <c r="B8" s="22" t="n">
        <v>65000</v>
      </c>
    </row>
    <row r="9" customFormat="false" ht="15" hidden="false" customHeight="false" outlineLevel="0" collapsed="false">
      <c r="A9" s="7" t="s">
        <v>96</v>
      </c>
      <c r="B9" s="22" t="n">
        <v>25000</v>
      </c>
    </row>
    <row r="10" customFormat="false" ht="15" hidden="false" customHeight="false" outlineLevel="0" collapsed="false">
      <c r="A10" s="7" t="s">
        <v>97</v>
      </c>
      <c r="B10" s="22" t="n">
        <v>60000</v>
      </c>
    </row>
    <row r="11" customFormat="false" ht="15" hidden="false" customHeight="false" outlineLevel="0" collapsed="false">
      <c r="A11" s="7" t="s">
        <v>98</v>
      </c>
      <c r="B11" s="22" t="n">
        <v>50000</v>
      </c>
    </row>
    <row r="12" customFormat="false" ht="15" hidden="false" customHeight="false" outlineLevel="0" collapsed="false">
      <c r="A12" s="7" t="s">
        <v>99</v>
      </c>
      <c r="B12" s="22" t="n">
        <v>95000</v>
      </c>
    </row>
    <row r="13" customFormat="false" ht="15" hidden="false" customHeight="false" outlineLevel="0" collapsed="false">
      <c r="A13" s="16" t="s">
        <v>100</v>
      </c>
      <c r="B13" s="17" t="n">
        <f aca="false">SUM(B4:B12)</f>
        <v>1350000</v>
      </c>
    </row>
    <row r="15" customFormat="false" ht="15" hidden="false" customHeight="false" outlineLevel="0" collapsed="false">
      <c r="A15" s="5" t="s">
        <v>101</v>
      </c>
    </row>
    <row r="16" customFormat="false" ht="15" hidden="false" customHeight="false" outlineLevel="0" collapsed="false">
      <c r="A16" s="7" t="s">
        <v>102</v>
      </c>
      <c r="B16" s="22" t="n">
        <v>150000</v>
      </c>
    </row>
    <row r="17" customFormat="false" ht="15" hidden="false" customHeight="false" outlineLevel="0" collapsed="false">
      <c r="A17" s="7" t="s">
        <v>103</v>
      </c>
      <c r="B17" s="22" t="n">
        <v>900000</v>
      </c>
    </row>
    <row r="18" customFormat="false" ht="15" hidden="false" customHeight="false" outlineLevel="0" collapsed="false">
      <c r="A18" s="7" t="s">
        <v>104</v>
      </c>
      <c r="B18" s="22" t="n">
        <v>300000</v>
      </c>
    </row>
    <row r="19" customFormat="false" ht="15" hidden="false" customHeight="false" outlineLevel="0" collapsed="false">
      <c r="A19" s="16" t="s">
        <v>105</v>
      </c>
      <c r="B19" s="17" t="n">
        <f aca="false">SUM(B16:B18)</f>
        <v>1350000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6" min="2" style="0" width="16"/>
  </cols>
  <sheetData>
    <row r="1" customFormat="false" ht="15" hidden="false" customHeight="false" outlineLevel="0" collapsed="false">
      <c r="A1" s="1" t="s">
        <v>106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5" t="s">
        <v>107</v>
      </c>
    </row>
    <row r="4" customFormat="false" ht="15" hidden="false" customHeight="false" outlineLevel="0" collapsed="false">
      <c r="A4" s="7" t="s">
        <v>108</v>
      </c>
      <c r="B4" s="15" t="n">
        <f aca="false">-('P&amp;L 5 ans'!D16+'P&amp;L 5 ans'!D19)-('P&amp;L 5 ans'!D7*0)</f>
        <v>1107119.375</v>
      </c>
    </row>
    <row r="5" customFormat="false" ht="15" hidden="false" customHeight="false" outlineLevel="0" collapsed="false">
      <c r="A5" s="7" t="s">
        <v>109</v>
      </c>
      <c r="B5" s="23" t="n">
        <f aca="false">Revenus!B6+(Revenus!D8/Revenus!D5)*(1-Hypothèses!B43)</f>
        <v>13.0982142857143</v>
      </c>
    </row>
    <row r="6" customFormat="false" ht="15" hidden="false" customHeight="false" outlineLevel="0" collapsed="false">
      <c r="A6" s="7" t="s">
        <v>110</v>
      </c>
      <c r="B6" s="24" t="n">
        <f aca="false">B4/B5</f>
        <v>84524.451261077</v>
      </c>
    </row>
    <row r="7" customFormat="false" ht="15" hidden="false" customHeight="false" outlineLevel="0" collapsed="false">
      <c r="A7" s="25" t="s">
        <v>111</v>
      </c>
    </row>
    <row r="9" customFormat="false" ht="15" hidden="false" customHeight="false" outlineLevel="0" collapsed="false">
      <c r="A9" s="5" t="s">
        <v>112</v>
      </c>
    </row>
    <row r="10" customFormat="false" ht="15" hidden="false" customHeight="false" outlineLevel="0" collapsed="false">
      <c r="A10" s="6" t="s">
        <v>113</v>
      </c>
      <c r="B10" s="6" t="s">
        <v>114</v>
      </c>
      <c r="C10" s="6" t="s">
        <v>115</v>
      </c>
      <c r="D10" s="6" t="s">
        <v>116</v>
      </c>
      <c r="E10" s="6" t="s">
        <v>117</v>
      </c>
      <c r="F10" s="6" t="s">
        <v>118</v>
      </c>
    </row>
    <row r="11" customFormat="false" ht="15" hidden="false" customHeight="false" outlineLevel="0" collapsed="false">
      <c r="A11" s="16" t="s">
        <v>119</v>
      </c>
      <c r="B11" s="13" t="n">
        <v>61500</v>
      </c>
      <c r="C11" s="15" t="n">
        <v>1058237</v>
      </c>
      <c r="D11" s="15" t="n">
        <v>71941</v>
      </c>
      <c r="E11" s="21" t="n">
        <v>0.0679820709148052</v>
      </c>
      <c r="F11" s="7" t="s">
        <v>120</v>
      </c>
    </row>
    <row r="12" customFormat="false" ht="15" hidden="false" customHeight="false" outlineLevel="0" collapsed="false">
      <c r="A12" s="16" t="s">
        <v>121</v>
      </c>
      <c r="B12" s="13" t="n">
        <v>82000</v>
      </c>
      <c r="C12" s="15" t="n">
        <v>1367857</v>
      </c>
      <c r="D12" s="15" t="n">
        <v>326309</v>
      </c>
      <c r="E12" s="21" t="n">
        <v>0.238555026109661</v>
      </c>
      <c r="F12" s="7" t="s">
        <v>10</v>
      </c>
    </row>
    <row r="13" customFormat="false" ht="15" hidden="false" customHeight="false" outlineLevel="0" collapsed="false">
      <c r="A13" s="16" t="s">
        <v>122</v>
      </c>
      <c r="B13" s="13" t="n">
        <v>98400</v>
      </c>
      <c r="C13" s="15" t="n">
        <v>1615554</v>
      </c>
      <c r="D13" s="15" t="n">
        <v>529804</v>
      </c>
      <c r="E13" s="21" t="n">
        <v>0.327939394944237</v>
      </c>
      <c r="F13" s="7" t="s">
        <v>9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2026-07-20T12:41:05Z</dcterms:created>
  <dc:creator>openpyxl</dc:creator>
  <dc:description/>
  <dc:language>en-US</dc:language>
  <cp:lastModifiedBy/>
  <dcterms:modified xsi:type="dcterms:W3CDTF">2026-07-20T12:44:43Z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