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ntoinegheysens/Downloads/"/>
    </mc:Choice>
  </mc:AlternateContent>
  <xr:revisionPtr revIDLastSave="0" documentId="13_ncr:1_{D168019E-1083-1446-97A0-ADD4E0D5A0BD}" xr6:coauthVersionLast="47" xr6:coauthVersionMax="47" xr10:uidLastSave="{00000000-0000-0000-0000-000000000000}"/>
  <bookViews>
    <workbookView xWindow="0" yWindow="0" windowWidth="28800" windowHeight="18000" activeTab="3" xr2:uid="{00000000-000D-0000-FFFF-FFFF00000000}"/>
  </bookViews>
  <sheets>
    <sheet name="Synthèse" sheetId="1" r:id="rId1"/>
    <sheet name="Hypothèses" sheetId="2" r:id="rId2"/>
    <sheet name="Revenus" sheetId="3" r:id="rId3"/>
    <sheet name="P&amp;L 10 ans" sheetId="4" r:id="rId4"/>
    <sheet name="CAPEX &amp; Financement" sheetId="5" r:id="rId5"/>
    <sheet name="Seuil &amp; Scénarios" sheetId="6" r:id="rId6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7" i="6" l="1"/>
  <c r="B6" i="6"/>
  <c r="B5" i="6"/>
  <c r="K27" i="4"/>
  <c r="J27" i="4"/>
  <c r="I27" i="4"/>
  <c r="H27" i="4"/>
  <c r="G27" i="4"/>
  <c r="F27" i="4"/>
  <c r="E27" i="4"/>
  <c r="D27" i="4"/>
  <c r="C27" i="4"/>
  <c r="B27" i="4"/>
  <c r="K22" i="4"/>
  <c r="J22" i="4"/>
  <c r="I22" i="4"/>
  <c r="H22" i="4"/>
  <c r="G22" i="4"/>
  <c r="F22" i="4"/>
  <c r="E22" i="4"/>
  <c r="D22" i="4"/>
  <c r="C22" i="4"/>
  <c r="B22" i="4"/>
  <c r="K20" i="4"/>
  <c r="J20" i="4"/>
  <c r="K16" i="4"/>
  <c r="J16" i="4"/>
  <c r="I16" i="4"/>
  <c r="H16" i="4"/>
  <c r="G16" i="4"/>
  <c r="F16" i="4"/>
  <c r="E16" i="4"/>
  <c r="D16" i="4"/>
  <c r="C16" i="4"/>
  <c r="B16" i="4"/>
  <c r="K15" i="4"/>
  <c r="J15" i="4"/>
  <c r="I15" i="4"/>
  <c r="H15" i="4"/>
  <c r="G15" i="4"/>
  <c r="F15" i="4"/>
  <c r="E15" i="4"/>
  <c r="D15" i="4"/>
  <c r="C15" i="4"/>
  <c r="B15" i="4"/>
  <c r="K14" i="4"/>
  <c r="J14" i="4"/>
  <c r="I14" i="4"/>
  <c r="H14" i="4"/>
  <c r="G14" i="4"/>
  <c r="F14" i="4"/>
  <c r="E14" i="4"/>
  <c r="D14" i="4"/>
  <c r="C14" i="4"/>
  <c r="B14" i="4"/>
  <c r="K13" i="4"/>
  <c r="J13" i="4"/>
  <c r="I13" i="4"/>
  <c r="H13" i="4"/>
  <c r="G13" i="4"/>
  <c r="F13" i="4"/>
  <c r="E13" i="4"/>
  <c r="D13" i="4"/>
  <c r="C13" i="4"/>
  <c r="B13" i="4"/>
  <c r="K12" i="4"/>
  <c r="J12" i="4"/>
  <c r="I12" i="4"/>
  <c r="H12" i="4"/>
  <c r="G12" i="4"/>
  <c r="F12" i="4"/>
  <c r="E12" i="4"/>
  <c r="D12" i="4"/>
  <c r="C12" i="4"/>
  <c r="B12" i="4"/>
  <c r="K11" i="4"/>
  <c r="J11" i="4"/>
  <c r="I11" i="4"/>
  <c r="H11" i="4"/>
  <c r="G11" i="4"/>
  <c r="F11" i="4"/>
  <c r="E11" i="4"/>
  <c r="D11" i="4"/>
  <c r="C11" i="4"/>
  <c r="B11" i="4"/>
  <c r="K10" i="4"/>
  <c r="J10" i="4"/>
  <c r="I10" i="4"/>
  <c r="H10" i="4"/>
  <c r="G10" i="4"/>
  <c r="F10" i="4"/>
  <c r="E10" i="4"/>
  <c r="D10" i="4"/>
  <c r="C10" i="4"/>
  <c r="B10" i="4"/>
  <c r="K9" i="4"/>
  <c r="J9" i="4"/>
  <c r="I9" i="4"/>
  <c r="H9" i="4"/>
  <c r="G9" i="4"/>
  <c r="F9" i="4"/>
  <c r="E9" i="4"/>
  <c r="D9" i="4"/>
  <c r="C9" i="4"/>
  <c r="B9" i="4"/>
  <c r="K8" i="4"/>
  <c r="J8" i="4"/>
  <c r="I8" i="4"/>
  <c r="H8" i="4"/>
  <c r="G8" i="4"/>
  <c r="F8" i="4"/>
  <c r="E8" i="4"/>
  <c r="D8" i="4"/>
  <c r="C8" i="4"/>
  <c r="B8" i="4"/>
  <c r="K13" i="3"/>
  <c r="J13" i="3"/>
  <c r="I13" i="3"/>
  <c r="E13" i="3"/>
  <c r="C13" i="3"/>
  <c r="B13" i="3"/>
  <c r="I11" i="3"/>
  <c r="G11" i="3"/>
  <c r="F11" i="3"/>
  <c r="E11" i="3"/>
  <c r="K10" i="3"/>
  <c r="I10" i="3"/>
  <c r="H10" i="3"/>
  <c r="G10" i="3"/>
  <c r="C10" i="3"/>
  <c r="B66" i="2"/>
  <c r="G61" i="2"/>
  <c r="K60" i="2"/>
  <c r="J60" i="2"/>
  <c r="I60" i="2"/>
  <c r="H60" i="2"/>
  <c r="H13" i="3" s="1"/>
  <c r="G60" i="2"/>
  <c r="G13" i="3" s="1"/>
  <c r="F60" i="2"/>
  <c r="F13" i="3" s="1"/>
  <c r="E60" i="2"/>
  <c r="D60" i="2"/>
  <c r="D13" i="3" s="1"/>
  <c r="C60" i="2"/>
  <c r="B60" i="2"/>
  <c r="K59" i="2"/>
  <c r="K12" i="3" s="1"/>
  <c r="J59" i="2"/>
  <c r="J12" i="3" s="1"/>
  <c r="I59" i="2"/>
  <c r="I12" i="3" s="1"/>
  <c r="H59" i="2"/>
  <c r="H12" i="3" s="1"/>
  <c r="G59" i="2"/>
  <c r="G12" i="3" s="1"/>
  <c r="F59" i="2"/>
  <c r="F12" i="3" s="1"/>
  <c r="E59" i="2"/>
  <c r="E12" i="3" s="1"/>
  <c r="D59" i="2"/>
  <c r="D12" i="3" s="1"/>
  <c r="C59" i="2"/>
  <c r="C12" i="3" s="1"/>
  <c r="B59" i="2"/>
  <c r="B12" i="3" s="1"/>
  <c r="K58" i="2"/>
  <c r="K11" i="3" s="1"/>
  <c r="J58" i="2"/>
  <c r="J11" i="3" s="1"/>
  <c r="I58" i="2"/>
  <c r="H58" i="2"/>
  <c r="H11" i="3" s="1"/>
  <c r="G58" i="2"/>
  <c r="F58" i="2"/>
  <c r="E58" i="2"/>
  <c r="D58" i="2"/>
  <c r="D11" i="3" s="1"/>
  <c r="C58" i="2"/>
  <c r="C11" i="3" s="1"/>
  <c r="B58" i="2"/>
  <c r="B11" i="3" s="1"/>
  <c r="K57" i="2"/>
  <c r="J57" i="2"/>
  <c r="J10" i="3" s="1"/>
  <c r="I57" i="2"/>
  <c r="H57" i="2"/>
  <c r="G57" i="2"/>
  <c r="F57" i="2"/>
  <c r="F10" i="3" s="1"/>
  <c r="E57" i="2"/>
  <c r="E10" i="3" s="1"/>
  <c r="D57" i="2"/>
  <c r="D10" i="3" s="1"/>
  <c r="C57" i="2"/>
  <c r="B57" i="2"/>
  <c r="B10" i="3" s="1"/>
  <c r="K56" i="2"/>
  <c r="J56" i="2"/>
  <c r="I56" i="2"/>
  <c r="H56" i="2"/>
  <c r="G56" i="2"/>
  <c r="F56" i="2"/>
  <c r="E56" i="2"/>
  <c r="D56" i="2"/>
  <c r="C56" i="2"/>
  <c r="B56" i="2"/>
  <c r="K55" i="2"/>
  <c r="J55" i="2"/>
  <c r="I55" i="2"/>
  <c r="H55" i="2"/>
  <c r="G55" i="2"/>
  <c r="F55" i="2"/>
  <c r="E55" i="2"/>
  <c r="D55" i="2"/>
  <c r="C55" i="2"/>
  <c r="B55" i="2"/>
  <c r="K54" i="2"/>
  <c r="J54" i="2"/>
  <c r="I54" i="2"/>
  <c r="H54" i="2"/>
  <c r="G54" i="2"/>
  <c r="F54" i="2"/>
  <c r="E54" i="2"/>
  <c r="D54" i="2"/>
  <c r="C54" i="2"/>
  <c r="B54" i="2"/>
  <c r="K53" i="2"/>
  <c r="K61" i="2" s="1"/>
  <c r="J53" i="2"/>
  <c r="J61" i="2" s="1"/>
  <c r="I53" i="2"/>
  <c r="I61" i="2" s="1"/>
  <c r="H53" i="2"/>
  <c r="H61" i="2" s="1"/>
  <c r="G53" i="2"/>
  <c r="F53" i="2"/>
  <c r="F61" i="2" s="1"/>
  <c r="E53" i="2"/>
  <c r="E61" i="2" s="1"/>
  <c r="D53" i="2"/>
  <c r="D61" i="2" s="1"/>
  <c r="C53" i="2"/>
  <c r="C61" i="2" s="1"/>
  <c r="B53" i="2"/>
  <c r="B61" i="2" s="1"/>
  <c r="C4" i="2"/>
  <c r="J7" i="4" s="1"/>
  <c r="D3" i="2"/>
  <c r="A16" i="1" s="1"/>
  <c r="B14" i="1"/>
  <c r="B8" i="1"/>
  <c r="B20" i="5"/>
  <c r="B14" i="5"/>
  <c r="B11" i="1" s="1"/>
  <c r="B9" i="3" l="1"/>
  <c r="G11" i="6"/>
  <c r="J17" i="4"/>
  <c r="K5" i="3"/>
  <c r="K8" i="3" s="1"/>
  <c r="B5" i="3"/>
  <c r="B8" i="3" s="1"/>
  <c r="B5" i="4" s="1"/>
  <c r="H7" i="4"/>
  <c r="H17" i="4" s="1"/>
  <c r="J9" i="3"/>
  <c r="C9" i="3"/>
  <c r="G7" i="4"/>
  <c r="G17" i="4" s="1"/>
  <c r="C5" i="3"/>
  <c r="C8" i="3" s="1"/>
  <c r="I9" i="3"/>
  <c r="I5" i="3"/>
  <c r="I8" i="3" s="1"/>
  <c r="J5" i="3"/>
  <c r="J8" i="3" s="1"/>
  <c r="K9" i="3"/>
  <c r="I13" i="6"/>
  <c r="I12" i="6"/>
  <c r="I11" i="6"/>
  <c r="I6" i="3"/>
  <c r="K13" i="6"/>
  <c r="K12" i="6"/>
  <c r="K11" i="6"/>
  <c r="K6" i="3"/>
  <c r="D7" i="6"/>
  <c r="B6" i="3"/>
  <c r="B13" i="6"/>
  <c r="C7" i="6"/>
  <c r="D5" i="6"/>
  <c r="B12" i="6"/>
  <c r="C5" i="6"/>
  <c r="B11" i="6"/>
  <c r="D6" i="6"/>
  <c r="C6" i="6"/>
  <c r="J6" i="3"/>
  <c r="J13" i="6"/>
  <c r="J12" i="6"/>
  <c r="J11" i="6"/>
  <c r="C13" i="6"/>
  <c r="C12" i="6"/>
  <c r="C11" i="6"/>
  <c r="C6" i="3"/>
  <c r="D12" i="6"/>
  <c r="D11" i="6"/>
  <c r="D6" i="3"/>
  <c r="D13" i="6"/>
  <c r="E12" i="6"/>
  <c r="E11" i="6"/>
  <c r="E6" i="3"/>
  <c r="E13" i="6"/>
  <c r="F11" i="6"/>
  <c r="F6" i="3"/>
  <c r="F13" i="6"/>
  <c r="F12" i="6"/>
  <c r="H6" i="3"/>
  <c r="H13" i="6"/>
  <c r="H12" i="6"/>
  <c r="H11" i="6"/>
  <c r="A4" i="1"/>
  <c r="E5" i="3"/>
  <c r="E9" i="3"/>
  <c r="C7" i="4"/>
  <c r="C17" i="4" s="1"/>
  <c r="K7" i="4"/>
  <c r="K17" i="4" s="1"/>
  <c r="F5" i="3"/>
  <c r="B7" i="3"/>
  <c r="F9" i="3"/>
  <c r="D7" i="4"/>
  <c r="D17" i="4" s="1"/>
  <c r="G12" i="6"/>
  <c r="G9" i="3"/>
  <c r="E7" i="4"/>
  <c r="E17" i="4" s="1"/>
  <c r="A2" i="3"/>
  <c r="B15" i="5"/>
  <c r="G5" i="3"/>
  <c r="H5" i="3"/>
  <c r="H9" i="3"/>
  <c r="F7" i="4"/>
  <c r="F17" i="4" s="1"/>
  <c r="G13" i="6"/>
  <c r="G6" i="3"/>
  <c r="I7" i="4"/>
  <c r="I17" i="4" s="1"/>
  <c r="D5" i="3"/>
  <c r="D9" i="3"/>
  <c r="B7" i="4"/>
  <c r="B17" i="4" s="1"/>
  <c r="J7" i="3" l="1"/>
  <c r="J14" i="3" s="1"/>
  <c r="J4" i="4" s="1"/>
  <c r="I7" i="3"/>
  <c r="K7" i="3"/>
  <c r="E5" i="6"/>
  <c r="K14" i="3"/>
  <c r="E18" i="1" s="1"/>
  <c r="C5" i="4"/>
  <c r="F7" i="6"/>
  <c r="C7" i="3"/>
  <c r="C14" i="3" s="1"/>
  <c r="C4" i="4" s="1"/>
  <c r="I14" i="3"/>
  <c r="I4" i="4" s="1"/>
  <c r="J5" i="4"/>
  <c r="I5" i="4"/>
  <c r="K5" i="4"/>
  <c r="F6" i="6"/>
  <c r="B9" i="1" s="1"/>
  <c r="G8" i="3"/>
  <c r="G5" i="4" s="1"/>
  <c r="G7" i="3"/>
  <c r="H7" i="3"/>
  <c r="H8" i="3"/>
  <c r="H5" i="4" s="1"/>
  <c r="E7" i="3"/>
  <c r="E8" i="3"/>
  <c r="E5" i="4" s="1"/>
  <c r="D8" i="3"/>
  <c r="D5" i="4" s="1"/>
  <c r="D7" i="3"/>
  <c r="H20" i="4"/>
  <c r="G20" i="4"/>
  <c r="F20" i="4"/>
  <c r="E20" i="4"/>
  <c r="D20" i="4"/>
  <c r="C20" i="4"/>
  <c r="B20" i="4"/>
  <c r="I20" i="4"/>
  <c r="B14" i="3"/>
  <c r="E6" i="6"/>
  <c r="E7" i="6"/>
  <c r="F8" i="3"/>
  <c r="F5" i="4" s="1"/>
  <c r="F7" i="3"/>
  <c r="F5" i="6"/>
  <c r="C6" i="4" l="1"/>
  <c r="C18" i="4" s="1"/>
  <c r="K4" i="4"/>
  <c r="D14" i="3"/>
  <c r="D4" i="4" s="1"/>
  <c r="D6" i="4" s="1"/>
  <c r="D18" i="4" s="1"/>
  <c r="J6" i="4"/>
  <c r="J18" i="4" s="1"/>
  <c r="G14" i="3"/>
  <c r="G4" i="4" s="1"/>
  <c r="G6" i="4" s="1"/>
  <c r="G18" i="4" s="1"/>
  <c r="G21" i="4" s="1"/>
  <c r="G23" i="4" s="1"/>
  <c r="E14" i="3"/>
  <c r="E4" i="4" s="1"/>
  <c r="E6" i="4" s="1"/>
  <c r="E18" i="4" s="1"/>
  <c r="E21" i="4" s="1"/>
  <c r="E23" i="4" s="1"/>
  <c r="I6" i="4"/>
  <c r="I18" i="4" s="1"/>
  <c r="I19" i="4" s="1"/>
  <c r="K6" i="4"/>
  <c r="K18" i="4" s="1"/>
  <c r="K21" i="4" s="1"/>
  <c r="K23" i="4" s="1"/>
  <c r="F14" i="3"/>
  <c r="D18" i="1" s="1"/>
  <c r="B18" i="1"/>
  <c r="B4" i="4"/>
  <c r="B6" i="4" s="1"/>
  <c r="B18" i="4" s="1"/>
  <c r="B5" i="1"/>
  <c r="B21" i="3"/>
  <c r="B18" i="3"/>
  <c r="B19" i="3"/>
  <c r="B22" i="3"/>
  <c r="B20" i="3"/>
  <c r="B23" i="3"/>
  <c r="H14" i="3"/>
  <c r="H4" i="4" s="1"/>
  <c r="H6" i="4" s="1"/>
  <c r="H18" i="4" s="1"/>
  <c r="C21" i="4"/>
  <c r="C23" i="4" s="1"/>
  <c r="C19" i="4"/>
  <c r="B17" i="3"/>
  <c r="C18" i="1" l="1"/>
  <c r="G19" i="4"/>
  <c r="F4" i="4"/>
  <c r="F6" i="4" s="1"/>
  <c r="F18" i="4" s="1"/>
  <c r="F21" i="4" s="1"/>
  <c r="F23" i="4" s="1"/>
  <c r="K19" i="4"/>
  <c r="E19" i="1"/>
  <c r="E20" i="1"/>
  <c r="E19" i="4"/>
  <c r="B24" i="3"/>
  <c r="J19" i="4"/>
  <c r="J21" i="4"/>
  <c r="J23" i="4" s="1"/>
  <c r="I21" i="4"/>
  <c r="I23" i="4" s="1"/>
  <c r="I24" i="4" s="1"/>
  <c r="I26" i="4" s="1"/>
  <c r="I28" i="4" s="1"/>
  <c r="J14" i="1" s="1"/>
  <c r="D20" i="1"/>
  <c r="F19" i="4"/>
  <c r="D19" i="1"/>
  <c r="C24" i="4"/>
  <c r="C26" i="4" s="1"/>
  <c r="C28" i="4" s="1"/>
  <c r="D14" i="1" s="1"/>
  <c r="D21" i="4"/>
  <c r="D23" i="4" s="1"/>
  <c r="C19" i="1"/>
  <c r="C20" i="1"/>
  <c r="D19" i="4"/>
  <c r="K24" i="4"/>
  <c r="K26" i="4" s="1"/>
  <c r="K28" i="4" s="1"/>
  <c r="L14" i="1" s="1"/>
  <c r="H19" i="4"/>
  <c r="H21" i="4"/>
  <c r="H23" i="4" s="1"/>
  <c r="G24" i="4"/>
  <c r="G26" i="4" s="1"/>
  <c r="G28" i="4" s="1"/>
  <c r="H14" i="1" s="1"/>
  <c r="B19" i="4"/>
  <c r="B21" i="4"/>
  <c r="B23" i="4" s="1"/>
  <c r="B20" i="1"/>
  <c r="B7" i="1"/>
  <c r="B6" i="1"/>
  <c r="B19" i="1"/>
  <c r="E24" i="4"/>
  <c r="E26" i="4" s="1"/>
  <c r="E28" i="4" s="1"/>
  <c r="F14" i="1" s="1"/>
  <c r="J24" i="4" l="1"/>
  <c r="J26" i="4" s="1"/>
  <c r="J28" i="4" s="1"/>
  <c r="K14" i="1" s="1"/>
  <c r="I25" i="4"/>
  <c r="G25" i="4"/>
  <c r="E25" i="4"/>
  <c r="B24" i="4"/>
  <c r="B26" i="4" s="1"/>
  <c r="B28" i="4" s="1"/>
  <c r="C14" i="1" s="1"/>
  <c r="C25" i="4"/>
  <c r="K25" i="4"/>
  <c r="H24" i="4"/>
  <c r="H26" i="4" s="1"/>
  <c r="H28" i="4" s="1"/>
  <c r="I14" i="1" s="1"/>
  <c r="D24" i="4"/>
  <c r="D26" i="4" s="1"/>
  <c r="D28" i="4" s="1"/>
  <c r="E14" i="1" s="1"/>
  <c r="F24" i="4"/>
  <c r="F26" i="4" s="1"/>
  <c r="F28" i="4" s="1"/>
  <c r="G14" i="1" s="1"/>
  <c r="H25" i="4" l="1"/>
  <c r="D25" i="4"/>
  <c r="J25" i="4"/>
  <c r="B10" i="1"/>
  <c r="F25" i="4"/>
  <c r="B25" i="4"/>
</calcChain>
</file>

<file path=xl/sharedStrings.xml><?xml version="1.0" encoding="utf-8"?>
<sst xmlns="http://schemas.openxmlformats.org/spreadsheetml/2006/main" count="233" uniqueCount="171">
  <si>
    <t>VALLYO STORIES — SYNTHÈSE DU MODÈLE FINANCIER</t>
  </si>
  <si>
    <t>Parc éducatif enfants 2-10 ans — Roodebeek (Bruxelles) — Hypothèses prudentes — montants HT (hors TVA)</t>
  </si>
  <si>
    <t>Revenus totaux A1 (HT)</t>
  </si>
  <si>
    <t>EBITDA A1</t>
  </si>
  <si>
    <t>Marge EBITDA A1</t>
  </si>
  <si>
    <t>Visiteurs A1 (scénario de base)</t>
  </si>
  <si>
    <t>Payback scénario de base</t>
  </si>
  <si>
    <t>TRI actionnaires sur 10 ans (après dette)</t>
  </si>
  <si>
    <t>CAPEX total (besoin de financement)</t>
  </si>
  <si>
    <t>Flux de trésorerie actionnaires (après dette) — B = année 0 (–fonds propres et tour de table), C:L = années 1-10</t>
  </si>
  <si>
    <t>A1</t>
  </si>
  <si>
    <t>A3</t>
  </si>
  <si>
    <t>A5</t>
  </si>
  <si>
    <t>A10</t>
  </si>
  <si>
    <t>Revenus (HT)</t>
  </si>
  <si>
    <t>EBITDA</t>
  </si>
  <si>
    <t>Marge EBITDA</t>
  </si>
  <si>
    <t>VALLYO STORIES — MODÈLE FINANCIER 10 ANS (revenus HTVA / grille de prix TTC)</t>
  </si>
  <si>
    <t>Code couleur : jaune = hypothèse modifiable · vert = lien inter-feuilles · noir = calcul. Revenus et résultats en EUR HT (hors TVA) ; la grille de prix (sections B et F) reste TTC : prix publics.</t>
  </si>
  <si>
    <t>SCÉNARIO ACTIF (1=Prudent, 2=Base, 3=Optimiste)</t>
  </si>
  <si>
    <t>Facteur de fréquentation</t>
  </si>
  <si>
    <t>A. FRÉQUENTATION — visiteurs payants/an (scénario base)</t>
  </si>
  <si>
    <t>Année</t>
  </si>
  <si>
    <t>A2</t>
  </si>
  <si>
    <t>A4</t>
  </si>
  <si>
    <t>A6</t>
  </si>
  <si>
    <t>A7</t>
  </si>
  <si>
    <t>A8</t>
  </si>
  <si>
    <t>A9</t>
  </si>
  <si>
    <t>Visiteurs (base)</t>
  </si>
  <si>
    <t>Justification fréquentation : Palomano (référence française) réalise ≈ 110 000 entrées/an sur chacun de ses 3 parcs d’environ 600 m² (≈ 330 000 entrées au total sur 3 × ±600 m²), soit ≈ 183 entrées/m². L’hypothèse Vallyo à rythme de croisière (55 000 visiteurs / 900 m² ≈ 61/m²) ne représente qu’un tiers de la densité démontrée par Palomano, et l’année 1 (45 000 visiteurs ≈ 50/m²) moins de 30 % — un scénario très prudent, nettement en deçà du benchmark.</t>
  </si>
  <si>
    <t>B. PRICING — GRILLE PUBLIQUE TTC (convertie HT dans le modèle via le bloc G)</t>
  </si>
  <si>
    <t>Entrée enfant (2-12 ans)</t>
  </si>
  <si>
    <t>Entrée adulte accompagnant</t>
  </si>
  <si>
    <t>Part d'enfants dans les entrées</t>
  </si>
  <si>
    <t>Panier F&amp;B moyen / visiteur (TTC)</t>
  </si>
  <si>
    <t>Pénétration F&amp;B (% visiteurs)</t>
  </si>
  <si>
    <t>Anniversaire moyen (TTC, 10-12 enfants)</t>
  </si>
  <si>
    <t>Privatisation corporate moyenne (TTC)</t>
  </si>
  <si>
    <t>Entrée scolaire et crèches / enfant (TTC)</t>
  </si>
  <si>
    <t>Abonnement cours de langue / enfant (TTC, 20 cours de 1 heure)</t>
  </si>
  <si>
    <t>Stage / enfant (TTC)</t>
  </si>
  <si>
    <t>C. VOLUMES AUTRES REVENUS (base)</t>
  </si>
  <si>
    <t>Ligne</t>
  </si>
  <si>
    <t>Anniversaires / an</t>
  </si>
  <si>
    <t>Privatisations corporate / an</t>
  </si>
  <si>
    <t>Enfants scolaires et crèches / an</t>
  </si>
  <si>
    <t>Abonnements cours de langue / an</t>
  </si>
  <si>
    <t>Stages / an</t>
  </si>
  <si>
    <t>D. OPEX ANNUELS (base, k€ — indexation 2,5 %/an)</t>
  </si>
  <si>
    <t>Poste</t>
  </si>
  <si>
    <t>A1 (k€)</t>
  </si>
  <si>
    <t>Management Fees</t>
  </si>
  <si>
    <t>Énergie &amp; utilities</t>
  </si>
  <si>
    <t>Marketing &amp; communication</t>
  </si>
  <si>
    <t>Entretien, nettoyage, maintenance</t>
  </si>
  <si>
    <t>Assurances (RC exploitation, AT)</t>
  </si>
  <si>
    <t>IT, billetterie, bracelets (SaaS)</t>
  </si>
  <si>
    <t>Fournitures &amp; consommables jeux</t>
  </si>
  <si>
    <t>Admin, comptabilité, secrétariat social</t>
  </si>
  <si>
    <t>E. PARAMÈTRES</t>
  </si>
  <si>
    <t>COGS F&amp;B (% du CA F&amp;B)</t>
  </si>
  <si>
    <t>COGS anniversaires (% du CA)</t>
  </si>
  <si>
    <t>Part variable du personnel (liée à la fréquentation)</t>
  </si>
  <si>
    <t>Indexation annuelle OPEX</t>
  </si>
  <si>
    <t>TVA : taux par ligne de revenus (voir bloc G ci-dessous)</t>
  </si>
  <si>
    <t>Inflation prix annuelle (indexation minimum du pricing)</t>
  </si>
  <si>
    <t>Dette bancaire : taux d’intérêt annuel (B) | durée de remboursement en années (C)</t>
  </si>
  <si>
    <t>F. PRIX INDEXÉS PAR ANNÉE (TTC — grille publique, inflation 2 %/an, arrondi vers le haut)</t>
  </si>
  <si>
    <t>Panier F&amp;B moyen / visiteur</t>
  </si>
  <si>
    <t>Anniversaire moyen (10-12 enfants)</t>
  </si>
  <si>
    <t>Privatisation corporate moyenne</t>
  </si>
  <si>
    <t>Entrée scolaire / enfant</t>
  </si>
  <si>
    <t>Abonnement cours de langue (20 cours de 1 heure)</t>
  </si>
  <si>
    <t>Stage / enfant</t>
  </si>
  <si>
    <t>Convention d’arrondi : entrées, F&amp;B, scolaire → 0,50 € sup. · anniversaire, stage → 5 € sup. · cours de langue → 10 € sup. · corporate → 50 € sup.</t>
  </si>
  <si>
    <t>G. TAUX DE TVA PAR LIGNE DE REVENU (présumés — ajustables)</t>
  </si>
  <si>
    <t>Billetterie (loisirs)</t>
  </si>
  <si>
    <t>F&amp;B / restauration — taux effectif calculé sur le mix du panier (voir ci-dessous)</t>
  </si>
  <si>
    <t>Anniversaires</t>
  </si>
  <si>
    <t>Privatisations corporate (B2B )</t>
  </si>
  <si>
    <t>Entrées scolaires</t>
  </si>
  <si>
    <t>Cours de langues (enseignement privé : taux normal présumé)</t>
  </si>
  <si>
    <t>Stages</t>
  </si>
  <si>
    <t>Note TVA : 12 % = taux horeca/loisirs belge présumé, appliqué par parité aux lignes loisirs ; 21 % = taux normal présumé (prestations B2B corporate, cours de langues privés). À valider avec le comptable — chaque taux est modifiable et recalcule l’ensemble du modèle.</t>
  </si>
  <si>
    <t>F&amp;B : part boissons non alcoolisées du panier (TVA en C)</t>
  </si>
  <si>
    <t>F&amp;B : part food du panier (TVA en C)</t>
  </si>
  <si>
    <t>F&amp;B : part du panier taxée à 21 % (alcool)</t>
  </si>
  <si>
    <t>Note : le mix F&amp;B doit totaliser 100 % du panier ; le taux effectif F&amp;B (B66) se calcule automatiquement = 1 / (Σ part ÷ (1 + taux)) − 1, soit ≈ 13,7 % avec le mix 50/30/20.</t>
  </si>
  <si>
    <t>CONSTRUCTION DES REVENUS (EUR hors TVA)</t>
  </si>
  <si>
    <t>Ligne de revenu</t>
  </si>
  <si>
    <t>Année 1</t>
  </si>
  <si>
    <t>Année 2</t>
  </si>
  <si>
    <t>Année 3</t>
  </si>
  <si>
    <t>Année 4</t>
  </si>
  <si>
    <t>Année 5</t>
  </si>
  <si>
    <t>Année 6</t>
  </si>
  <si>
    <t>Année 7</t>
  </si>
  <si>
    <t>Année 8</t>
  </si>
  <si>
    <t>Année 9</t>
  </si>
  <si>
    <t>Année 10</t>
  </si>
  <si>
    <t>Visiteurs (scénario ajusté)</t>
  </si>
  <si>
    <t>Prix d’entrée mixte moyen HT (grille TTC ÷ (1 + TVA billetterie))</t>
  </si>
  <si>
    <t>Billetterie</t>
  </si>
  <si>
    <t>Vallyo Square — Restauration</t>
  </si>
  <si>
    <t>Vallyo Houses — Anniversaires</t>
  </si>
  <si>
    <t>Corporate &amp; privatisations</t>
  </si>
  <si>
    <t>Groupes scolaires et crèches</t>
  </si>
  <si>
    <t>Cours de langues</t>
  </si>
  <si>
    <t>TOTAL REVENUS</t>
  </si>
  <si>
    <t>Mix % (année 1) — le total doit être égal à 100 %</t>
  </si>
  <si>
    <t>Restauration</t>
  </si>
  <si>
    <t>Corporate</t>
  </si>
  <si>
    <t>Scolaires</t>
  </si>
  <si>
    <t>TOTAL MIX</t>
  </si>
  <si>
    <t>COMPTE DE RÉSULTAT PRÉVISIONNEL 10 ANS (EUR HT — hors TVA)</t>
  </si>
  <si>
    <t>Présentation en montants hors TVA — cohérente d’un onglet à l’autre. OPEX et CAPEX sont par nature HT ; la TVA récupérable n’affecte pas le résultat.</t>
  </si>
  <si>
    <t>Total revenus</t>
  </si>
  <si>
    <t>COGS F&amp;B + anniversaires</t>
  </si>
  <si>
    <t>Marge brute</t>
  </si>
  <si>
    <t>Personnel</t>
  </si>
  <si>
    <t>Loyer &amp; charges</t>
  </si>
  <si>
    <t>Marketing</t>
  </si>
  <si>
    <t>Entretien &amp; maintenance</t>
  </si>
  <si>
    <t>Assurances</t>
  </si>
  <si>
    <t>IT &amp; SaaS</t>
  </si>
  <si>
    <t>Fournitures jeux</t>
  </si>
  <si>
    <t>Admin &amp; comptabilité</t>
  </si>
  <si>
    <t>Total OPEX</t>
  </si>
  <si>
    <t>Amortissements (CAPEX 1,07 M€ sur 8 ans)</t>
  </si>
  <si>
    <t>Résultat d'exploitation (EBIT)</t>
  </si>
  <si>
    <t>Charges financières — intérêts dette bancaire (solde déclinant, plancher 0)</t>
  </si>
  <si>
    <t>Résultat avant impôt</t>
  </si>
  <si>
    <t>Impôt sociétés (25 % si bénéfice)</t>
  </si>
  <si>
    <t>RÉSULTAT NET</t>
  </si>
  <si>
    <t>Flux de trésorerie opérationnel (EBITDA − ISoc)</t>
  </si>
  <si>
    <t>Remboursement capital — dette bancaire (linéaire, 0 au-delà de la durée)</t>
  </si>
  <si>
    <t>CASH-FLOW NET APRÈS DETTE</t>
  </si>
  <si>
    <t>INVESTISSEMENT INITIAL &amp; PLAN DE FINANCEMENT (montants actualisés)</t>
  </si>
  <si>
    <t>Poste CAPEX</t>
  </si>
  <si>
    <t>Montant</t>
  </si>
  <si>
    <t>Accessoires de jeu, costumes, matériel de sécurité (EPI, longe de freinage)</t>
  </si>
  <si>
    <t>Café / cuisine Vallyo Square</t>
  </si>
  <si>
    <t>Mobilier &amp; agencement café/accueil</t>
  </si>
  <si>
    <t>Technologie : bracelets RFID, billetterie, effets, IT</t>
  </si>
  <si>
    <t>Branding, signalétique, passeports</t>
  </si>
  <si>
    <t>Frais pré-exploitation (architecte, permis, juridique, BOIP/EUIPO)</t>
  </si>
  <si>
    <t>Marketing annuel</t>
  </si>
  <si>
    <t>Trésorerie de sécurité / BFR</t>
  </si>
  <si>
    <t>Startup Fee (project management, premiers loyers, HR, frais fixes de lancement)</t>
  </si>
  <si>
    <t>BESOIN TOTAL DE FINANCEMENT</t>
  </si>
  <si>
    <t>Structure proposée</t>
  </si>
  <si>
    <t>Fonds propres fondateurs</t>
  </si>
  <si>
    <t>Tour de table investisseurs</t>
  </si>
  <si>
    <t>Dette bancaire / leasing matériel</t>
  </si>
  <si>
    <t>Total financement</t>
  </si>
  <si>
    <t>SCÉNARIOS — CALCULÉS SUR L’ANNÉE 1 (EUR HT)</t>
  </si>
  <si>
    <t>Scénario</t>
  </si>
  <si>
    <t>Visiteurs A1</t>
  </si>
  <si>
    <t>Revenus A1</t>
  </si>
  <si>
    <t>Marge</t>
  </si>
  <si>
    <t>Payback CAPEX</t>
  </si>
  <si>
    <t>PRUDENT</t>
  </si>
  <si>
    <t>BASE</t>
  </si>
  <si>
    <t>OPTIMISTE</t>
  </si>
  <si>
    <t>Payback = première année où l’EBITDA cumulé couvre le besoin total de financement (CAPEX &amp; Financement!B13). Horizon : 10 ans.</t>
  </si>
  <si>
    <t>Scénarios calculés sur l’année 1 (visiteurs Hypothèses!B8) — montants HT.</t>
  </si>
  <si>
    <t>Loyer 800 m² + charges communes + taxes</t>
  </si>
  <si>
    <t>Travaux &amp; aménagement décors immersifs (800 m² × 800 €/m²)</t>
  </si>
  <si>
    <t>Masse Salariale (2 ETP manager, animateurs, café, accueil + étudiants &amp; flexis)</t>
  </si>
  <si>
    <t>Prix d’entrée mixte moyen (60 % enfants / 40 % adultes)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</si>
</sst>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&quot; €&quot;"/>
    <numFmt numFmtId="165" formatCode="0.0%"/>
    <numFmt numFmtId="166" formatCode="#,##0.00&quot; €&quot;"/>
    <numFmt numFmtId="167" formatCode="#,##0.00&quot; €&quot;"/>
  </numFmts>
  <fonts count="11" x14ac:knownFonts="1">
    <font>
      <sz val="11"/>
      <color rgb="FF000000"/>
      <name val="Calibri"/>
      <family val="2"/>
      <charset val="1"/>
    </font>
    <font>
      <b/>
      <sz val="15"/>
      <color rgb="FF1E4038"/>
      <name val="Georgia"/>
      <family val="1"/>
    </font>
    <font>
      <i/>
      <sz val="9"/>
      <color rgb="FF6B6B6B"/>
      <name val="Calibri"/>
      <family val="2"/>
    </font>
    <font>
      <b/>
      <sz val="11"/>
      <color rgb="FFFFFFFF"/>
      <name val="Calibri"/>
      <family val="2"/>
    </font>
    <font>
      <sz val="10"/>
      <color rgb="FF262626"/>
      <name val="Calibri"/>
      <family val="2"/>
    </font>
    <font>
      <sz val="10"/>
      <color rgb="FF2E7D32"/>
      <name val="Calibri"/>
      <family val="2"/>
    </font>
    <font>
      <b/>
      <sz val="10"/>
      <color rgb="FF1E4038"/>
      <name val="Calibri"/>
      <family val="2"/>
    </font>
    <font>
      <b/>
      <sz val="10"/>
      <color rgb="FF1F4E79"/>
      <name val="Calibri"/>
      <family val="2"/>
    </font>
    <font>
      <b/>
      <sz val="10"/>
      <color rgb="FF262626"/>
      <name val="Calibri"/>
      <family val="2"/>
    </font>
    <font>
      <b/>
      <sz val="10"/>
      <color rgb="FF262626"/>
      <name val="Calibri"/>
      <family val="2"/>
      <charset val="1"/>
    </font>
    <font>
      <b/>
      <sz val="11"/>
      <color rgb="FF000000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2F5D50"/>
        <bgColor rgb="FF1F4E79"/>
      </patternFill>
    </fill>
    <fill>
      <patternFill patternType="solid">
        <fgColor rgb="FFE7EFEA"/>
        <bgColor rgb="FFEDF5EE"/>
      </patternFill>
    </fill>
    <fill>
      <patternFill patternType="solid">
        <fgColor rgb="FFFDF6EC"/>
        <bgColor rgb="FFEDF5EE"/>
      </patternFill>
    </fill>
    <fill>
      <patternFill patternType="solid">
        <fgColor rgb="FFF3EBDD"/>
        <bgColor rgb="FFE7EFEA"/>
      </patternFill>
    </fill>
    <fill>
      <patternFill patternType="solid">
        <fgColor rgb="FFEDF5EE"/>
        <bgColor rgb="FFE7EFEA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D8D8"/>
      </bottom>
      <diagonal/>
    </border>
    <border>
      <left/>
      <right/>
      <top style="medium">
        <color rgb="FF2F5D50"/>
      </top>
      <bottom style="medium">
        <color rgb="FF2F5D5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0" fontId="0" fillId="2" borderId="1" xfId="0" applyFill="1" applyBorder="1"/>
    <xf numFmtId="0" fontId="4" fillId="0" borderId="1" xfId="0" applyFont="1" applyBorder="1"/>
    <xf numFmtId="164" fontId="5" fillId="0" borderId="1" xfId="0" applyNumberFormat="1" applyFont="1" applyBorder="1"/>
    <xf numFmtId="165" fontId="5" fillId="0" borderId="1" xfId="0" applyNumberFormat="1" applyFont="1" applyBorder="1"/>
    <xf numFmtId="3" fontId="5" fillId="0" borderId="1" xfId="0" applyNumberFormat="1" applyFont="1" applyBorder="1"/>
    <xf numFmtId="0" fontId="5" fillId="0" borderId="1" xfId="0" applyFont="1" applyBorder="1" applyAlignment="1">
      <alignment horizontal="center"/>
    </xf>
    <xf numFmtId="165" fontId="4" fillId="0" borderId="1" xfId="0" applyNumberFormat="1" applyFont="1" applyBorder="1"/>
    <xf numFmtId="0" fontId="6" fillId="3" borderId="1" xfId="0" applyFont="1" applyFill="1" applyBorder="1" applyAlignment="1">
      <alignment horizontal="center"/>
    </xf>
    <xf numFmtId="166" fontId="2" fillId="0" borderId="1" xfId="0" applyNumberFormat="1" applyFont="1" applyBorder="1"/>
    <xf numFmtId="10" fontId="2" fillId="0" borderId="1" xfId="0" applyNumberFormat="1" applyFont="1" applyBorder="1"/>
    <xf numFmtId="0" fontId="4" fillId="0" borderId="0" xfId="0" applyFont="1"/>
    <xf numFmtId="0" fontId="4" fillId="0" borderId="0" xfId="0" applyFont="1" applyAlignment="1">
      <alignment horizontal="center"/>
    </xf>
    <xf numFmtId="3" fontId="7" fillId="4" borderId="1" xfId="0" applyNumberFormat="1" applyFont="1" applyFill="1" applyBorder="1" applyAlignment="1">
      <alignment horizontal="center"/>
    </xf>
    <xf numFmtId="0" fontId="4" fillId="2" borderId="1" xfId="0" applyFont="1" applyFill="1" applyBorder="1"/>
    <xf numFmtId="0" fontId="6" fillId="3" borderId="1" xfId="0" applyFont="1" applyFill="1" applyBorder="1"/>
    <xf numFmtId="0" fontId="7" fillId="4" borderId="1" xfId="0" applyFont="1" applyFill="1" applyBorder="1"/>
    <xf numFmtId="165" fontId="7" fillId="4" borderId="1" xfId="0" applyNumberFormat="1" applyFont="1" applyFill="1" applyBorder="1"/>
    <xf numFmtId="1" fontId="7" fillId="4" borderId="1" xfId="0" applyNumberFormat="1" applyFont="1" applyFill="1" applyBorder="1"/>
    <xf numFmtId="167" fontId="4" fillId="0" borderId="1" xfId="0" applyNumberFormat="1" applyFont="1" applyBorder="1"/>
    <xf numFmtId="0" fontId="8" fillId="0" borderId="1" xfId="0" applyFont="1" applyBorder="1"/>
    <xf numFmtId="167" fontId="5" fillId="0" borderId="1" xfId="0" applyNumberFormat="1" applyFont="1" applyBorder="1"/>
    <xf numFmtId="164" fontId="4" fillId="0" borderId="1" xfId="0" applyNumberFormat="1" applyFont="1" applyBorder="1"/>
    <xf numFmtId="0" fontId="6" fillId="5" borderId="1" xfId="0" applyFont="1" applyFill="1" applyBorder="1"/>
    <xf numFmtId="164" fontId="6" fillId="5" borderId="2" xfId="0" applyNumberFormat="1" applyFont="1" applyFill="1" applyBorder="1"/>
    <xf numFmtId="165" fontId="6" fillId="5" borderId="2" xfId="0" applyNumberFormat="1" applyFont="1" applyFill="1" applyBorder="1"/>
    <xf numFmtId="0" fontId="4" fillId="6" borderId="1" xfId="0" applyFont="1" applyFill="1" applyBorder="1"/>
    <xf numFmtId="0" fontId="6" fillId="0" borderId="1" xfId="0" applyFont="1" applyBorder="1"/>
    <xf numFmtId="164" fontId="6" fillId="0" borderId="1" xfId="0" applyNumberFormat="1" applyFont="1" applyBorder="1"/>
    <xf numFmtId="164" fontId="7" fillId="4" borderId="1" xfId="0" applyNumberFormat="1" applyFont="1" applyFill="1" applyBorder="1"/>
    <xf numFmtId="164" fontId="0" fillId="0" borderId="0" xfId="0" applyNumberFormat="1"/>
    <xf numFmtId="3" fontId="4" fillId="0" borderId="1" xfId="0" applyNumberFormat="1" applyFont="1" applyBorder="1"/>
    <xf numFmtId="0" fontId="4" fillId="0" borderId="1" xfId="0" applyFont="1" applyBorder="1" applyAlignment="1">
      <alignment horizontal="center"/>
    </xf>
    <xf numFmtId="3" fontId="9" fillId="0" borderId="1" xfId="0" applyNumberFormat="1" applyFont="1" applyBorder="1"/>
    <xf numFmtId="164" fontId="9" fillId="0" borderId="1" xfId="0" applyNumberFormat="1" applyFont="1" applyBorder="1"/>
    <xf numFmtId="165" fontId="9" fillId="0" borderId="1" xfId="0" applyNumberFormat="1" applyFont="1" applyBorder="1"/>
    <xf numFmtId="0" fontId="9" fillId="0" borderId="1" xfId="0" applyFont="1" applyBorder="1" applyAlignment="1">
      <alignment horizontal="center"/>
    </xf>
    <xf numFmtId="0" fontId="9" fillId="0" borderId="1" xfId="0" applyFont="1" applyBorder="1"/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2F5D50"/>
      <rgbColor rgb="FFC0C0C0"/>
      <rgbColor rgb="FF808080"/>
      <rgbColor rgb="FF9999FF"/>
      <rgbColor rgb="FF993366"/>
      <rgbColor rgb="FFFDF6EC"/>
      <rgbColor rgb="FFEDF5EE"/>
      <rgbColor rgb="FF660066"/>
      <rgbColor rgb="FFC67B4E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7EFEA"/>
      <rgbColor rgb="FFF3EBDD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6B6B"/>
      <rgbColor rgb="FF969696"/>
      <rgbColor rgb="FF003366"/>
      <rgbColor rgb="FF2E7D32"/>
      <rgbColor rgb="FF003300"/>
      <rgbColor rgb="FF1E4038"/>
      <rgbColor rgb="FF993300"/>
      <rgbColor rgb="FF993366"/>
      <rgbColor rgb="FF1F4E79"/>
      <rgbColor rgb="FF26262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F5D50"/>
  </sheetPr>
  <dimension ref="A1:M33"/>
  <sheetViews>
    <sheetView zoomScaleNormal="100" zoomScalePageLayoutView="60" workbookViewId="0"/>
  </sheetViews>
  <sheetFormatPr baseColWidth="10" defaultColWidth="8.6640625" defaultRowHeight="15" x14ac:dyDescent="0.2"/>
  <cols>
    <col min="1" max="1" width="44" customWidth="1"/>
    <col min="2" max="2" width="18" customWidth="1"/>
    <col min="3" max="3" width="16" customWidth="1"/>
    <col min="4" max="13" width="14" customWidth="1"/>
  </cols>
  <sheetData>
    <row r="1" spans="1:12" ht="15" customHeight="1" x14ac:dyDescent="0.2">
      <c r="A1" s="2" t="s">
        <v>0</v>
      </c>
      <c r="B1" s="2"/>
      <c r="C1" s="2"/>
      <c r="D1" s="2"/>
      <c r="E1" s="2"/>
      <c r="F1" s="2"/>
    </row>
    <row r="2" spans="1:12" ht="15" customHeight="1" x14ac:dyDescent="0.2">
      <c r="A2" s="1" t="s">
        <v>1</v>
      </c>
      <c r="B2" s="1"/>
      <c r="C2" s="1"/>
      <c r="D2" s="1"/>
      <c r="E2" s="1"/>
      <c r="F2" s="1"/>
    </row>
    <row r="4" spans="1:12" ht="15" customHeight="1" x14ac:dyDescent="0.2">
      <c r="A4" s="5" t="str">
        <f>"INDICATEURS CLÉS — ANNÉE 1 (scénario "&amp;Hypothèses!D3&amp;", HT)"</f>
        <v>INDICATEURS CLÉS — ANNÉE 1 (scénario BASE, HT)</v>
      </c>
      <c r="B4" s="6"/>
      <c r="C4" s="6"/>
      <c r="D4" s="6"/>
      <c r="E4" s="6"/>
      <c r="F4" s="6"/>
    </row>
    <row r="5" spans="1:12" ht="15" customHeight="1" x14ac:dyDescent="0.2">
      <c r="A5" s="7" t="s">
        <v>2</v>
      </c>
      <c r="B5" s="8">
        <f>Revenus!B14</f>
        <v>891057.40850059025</v>
      </c>
    </row>
    <row r="6" spans="1:12" ht="15" customHeight="1" x14ac:dyDescent="0.2">
      <c r="A6" s="7" t="s">
        <v>3</v>
      </c>
      <c r="B6" s="8">
        <f>'P&amp;L 10 ans'!B18</f>
        <v>165154.22077922069</v>
      </c>
    </row>
    <row r="7" spans="1:12" ht="15" customHeight="1" x14ac:dyDescent="0.2">
      <c r="A7" s="7" t="s">
        <v>4</v>
      </c>
      <c r="B7" s="9">
        <f>'P&amp;L 10 ans'!B18/Revenus!B14</f>
        <v>0.18534633033031034</v>
      </c>
    </row>
    <row r="8" spans="1:12" ht="15" customHeight="1" x14ac:dyDescent="0.2">
      <c r="A8" s="7" t="s">
        <v>5</v>
      </c>
      <c r="B8" s="10">
        <f>'Seuil &amp; Scénarios'!B6</f>
        <v>48000</v>
      </c>
    </row>
    <row r="9" spans="1:12" ht="15" customHeight="1" x14ac:dyDescent="0.2">
      <c r="A9" s="7" t="s">
        <v>6</v>
      </c>
      <c r="B9" s="11" t="str">
        <f>'Seuil &amp; Scénarios'!F6</f>
        <v>Année 5</v>
      </c>
    </row>
    <row r="10" spans="1:12" ht="15" customHeight="1" x14ac:dyDescent="0.2">
      <c r="A10" s="7" t="s">
        <v>7</v>
      </c>
      <c r="B10" s="12">
        <f>IRR(B14:L14)</f>
        <v>0.2336882613467175</v>
      </c>
    </row>
    <row r="11" spans="1:12" ht="15" customHeight="1" x14ac:dyDescent="0.2">
      <c r="A11" s="7" t="s">
        <v>8</v>
      </c>
      <c r="B11" s="8">
        <f>'CAPEX &amp; Financement'!B14</f>
        <v>1200000</v>
      </c>
    </row>
    <row r="12" spans="1:12" ht="15" customHeight="1" x14ac:dyDescent="0.2"/>
    <row r="14" spans="1:12" ht="15" customHeight="1" x14ac:dyDescent="0.2">
      <c r="A14" s="4" t="s">
        <v>9</v>
      </c>
      <c r="B14" s="4">
        <f>-('CAPEX &amp; Financement'!B17+'CAPEX &amp; Financement'!B18)</f>
        <v>-600000</v>
      </c>
      <c r="C14" s="4">
        <f>'P&amp;L 10 ans'!B28</f>
        <v>64615.665584415518</v>
      </c>
      <c r="D14" s="4">
        <f>'P&amp;L 10 ans'!C28</f>
        <v>116474.13665879585</v>
      </c>
      <c r="E14" s="4">
        <f>'P&amp;L 10 ans'!D28</f>
        <v>153883.66292798103</v>
      </c>
      <c r="F14" s="4">
        <f>'P&amp;L 10 ans'!E28</f>
        <v>179728.43450228748</v>
      </c>
      <c r="G14" s="4">
        <f>'P&amp;L 10 ans'!F28</f>
        <v>203519.08116767823</v>
      </c>
      <c r="H14" s="4">
        <f>'P&amp;L 10 ans'!G28</f>
        <v>218853.0975268585</v>
      </c>
      <c r="I14" s="4">
        <f>'P&amp;L 10 ans'!H28</f>
        <v>242439.27148214926</v>
      </c>
      <c r="J14" s="4">
        <f>'P&amp;L 10 ans'!I28</f>
        <v>234280.20733502344</v>
      </c>
      <c r="K14" s="4">
        <f>'P&amp;L 10 ans'!J28</f>
        <v>285803.88764015265</v>
      </c>
      <c r="L14" s="4">
        <f>'P&amp;L 10 ans'!K28</f>
        <v>291452.10475810454</v>
      </c>
    </row>
    <row r="15" spans="1:12" ht="12" customHeight="1" x14ac:dyDescent="0.2"/>
    <row r="16" spans="1:12" ht="15" customHeight="1" x14ac:dyDescent="0.2">
      <c r="A16" s="5" t="str">
        <f>"TRAJECTOIRE 10 ANS — SCÉNARIO "&amp;Hypothèses!D3&amp;" (HT)"</f>
        <v>TRAJECTOIRE 10 ANS — SCÉNARIO BASE (HT)</v>
      </c>
      <c r="B16" s="6"/>
      <c r="C16" s="6"/>
      <c r="D16" s="6"/>
      <c r="E16" s="6"/>
      <c r="F16" s="6"/>
    </row>
    <row r="17" spans="1:13" ht="15" customHeight="1" x14ac:dyDescent="0.2">
      <c r="B17" s="13" t="s">
        <v>10</v>
      </c>
      <c r="C17" s="13" t="s">
        <v>11</v>
      </c>
      <c r="D17" s="13" t="s">
        <v>12</v>
      </c>
      <c r="E17" s="13" t="s">
        <v>13</v>
      </c>
    </row>
    <row r="18" spans="1:13" ht="15" customHeight="1" x14ac:dyDescent="0.2">
      <c r="A18" s="7" t="s">
        <v>14</v>
      </c>
      <c r="B18" s="8">
        <f>Revenus!B14</f>
        <v>891057.40850059025</v>
      </c>
      <c r="C18" s="14">
        <f>Revenus!D14</f>
        <v>1043906.0655253836</v>
      </c>
      <c r="D18" s="8">
        <f>Revenus!F14</f>
        <v>1143934.4746162926</v>
      </c>
      <c r="E18" s="8">
        <f>Revenus!K14</f>
        <v>1301038.2231404961</v>
      </c>
    </row>
    <row r="19" spans="1:13" ht="15" customHeight="1" x14ac:dyDescent="0.2">
      <c r="A19" s="7" t="s">
        <v>15</v>
      </c>
      <c r="B19" s="8">
        <f>'P&amp;L 10 ans'!B18</f>
        <v>165154.22077922069</v>
      </c>
      <c r="C19" s="14">
        <f>'P&amp;L 10 ans'!D18</f>
        <v>278178.21723730804</v>
      </c>
      <c r="D19" s="8">
        <f>'P&amp;L 10 ans'!F18</f>
        <v>338358.7748902376</v>
      </c>
      <c r="E19" s="8">
        <f>'P&amp;L 10 ans'!K18</f>
        <v>388602.80634413939</v>
      </c>
    </row>
    <row r="20" spans="1:13" ht="15" customHeight="1" x14ac:dyDescent="0.2">
      <c r="A20" s="7" t="s">
        <v>16</v>
      </c>
      <c r="B20" s="9">
        <f>'P&amp;L 10 ans'!B18/Revenus!B14</f>
        <v>0.18534633033031034</v>
      </c>
      <c r="C20" s="15">
        <f>'P&amp;L 10 ans'!D18/Revenus!D14</f>
        <v>0.26647820759361596</v>
      </c>
      <c r="D20" s="9">
        <f>'P&amp;L 10 ans'!F18/Revenus!F14</f>
        <v>0.29578510168052458</v>
      </c>
      <c r="E20" s="9">
        <f>'P&amp;L 10 ans'!K18/Revenus!K14</f>
        <v>0.29868669454315877</v>
      </c>
    </row>
    <row r="21" spans="1:13" ht="15" customHeight="1" x14ac:dyDescent="0.2"/>
    <row r="22" spans="1:13" ht="15" customHeight="1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</row>
    <row r="23" spans="1:13" ht="15" customHeight="1" x14ac:dyDescent="0.2">
      <c r="A23" s="16"/>
      <c r="B23" s="17"/>
      <c r="C23" s="17"/>
      <c r="D23" s="16"/>
      <c r="E23" s="16"/>
      <c r="F23" s="16"/>
      <c r="G23" s="16"/>
      <c r="H23" s="16"/>
      <c r="I23" s="16"/>
      <c r="J23" s="16"/>
      <c r="K23" s="16"/>
      <c r="L23" s="16"/>
      <c r="M23" s="16"/>
    </row>
    <row r="24" spans="1:13" ht="15" customHeight="1" x14ac:dyDescent="0.2">
      <c r="A24" s="16"/>
      <c r="B24" s="17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</row>
    <row r="25" spans="1:13" ht="15" customHeight="1" x14ac:dyDescent="0.2">
      <c r="A25" s="16"/>
      <c r="B25" s="17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</row>
    <row r="26" spans="1:13" ht="15" customHeight="1" x14ac:dyDescent="0.2">
      <c r="A26" s="16"/>
      <c r="B26" s="17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</row>
    <row r="27" spans="1:13" ht="15" customHeight="1" x14ac:dyDescent="0.2">
      <c r="A27" s="16"/>
      <c r="B27" s="17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</row>
    <row r="28" spans="1:13" ht="15" customHeight="1" x14ac:dyDescent="0.2">
      <c r="A28" s="16"/>
      <c r="B28" s="17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</row>
    <row r="29" spans="1:13" ht="15" customHeight="1" x14ac:dyDescent="0.2">
      <c r="A29" s="16"/>
      <c r="B29" s="17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</row>
    <row r="30" spans="1:13" ht="15" customHeight="1" x14ac:dyDescent="0.2">
      <c r="A30" s="16"/>
      <c r="B30" s="17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</row>
    <row r="31" spans="1:13" ht="15" customHeight="1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</row>
    <row r="32" spans="1:13" ht="15" customHeight="1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</row>
    <row r="33" ht="15" customHeight="1" x14ac:dyDescent="0.2"/>
  </sheetData>
  <mergeCells count="2">
    <mergeCell ref="A1:F1"/>
    <mergeCell ref="A2:F2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2F5D50"/>
  </sheetPr>
  <dimension ref="A1:L76"/>
  <sheetViews>
    <sheetView zoomScale="133" zoomScaleNormal="133" zoomScalePageLayoutView="60" workbookViewId="0">
      <selection activeCell="C4" sqref="C4"/>
    </sheetView>
  </sheetViews>
  <sheetFormatPr baseColWidth="10" defaultColWidth="8.6640625" defaultRowHeight="15" x14ac:dyDescent="0.2"/>
  <cols>
    <col min="1" max="1" width="66" customWidth="1"/>
    <col min="2" max="12" width="11" customWidth="1"/>
  </cols>
  <sheetData>
    <row r="1" spans="1:12" ht="24.75" customHeight="1" x14ac:dyDescent="0.2">
      <c r="A1" s="3" t="s">
        <v>17</v>
      </c>
    </row>
    <row r="2" spans="1:12" ht="15" customHeight="1" x14ac:dyDescent="0.2">
      <c r="A2" s="4" t="s">
        <v>18</v>
      </c>
    </row>
    <row r="3" spans="1:12" ht="15" customHeight="1" x14ac:dyDescent="0.2">
      <c r="A3" s="5" t="s">
        <v>19</v>
      </c>
      <c r="B3" s="6"/>
      <c r="C3" s="18">
        <v>2</v>
      </c>
      <c r="D3" s="19" t="str">
        <f>CHOOSE(C3,"PRUDENT","BASE","OPTIMISTE")</f>
        <v>BASE</v>
      </c>
      <c r="E3" s="6"/>
      <c r="F3" s="6"/>
      <c r="G3" s="6"/>
      <c r="H3" s="6"/>
      <c r="I3" s="6"/>
      <c r="J3" s="6"/>
      <c r="K3" s="6"/>
      <c r="L3" s="6"/>
    </row>
    <row r="4" spans="1:12" ht="15" customHeight="1" x14ac:dyDescent="0.2">
      <c r="A4" s="7" t="s">
        <v>20</v>
      </c>
      <c r="C4" s="7">
        <f>CHOOSE(C3,0.75,1,1.2)</f>
        <v>1</v>
      </c>
    </row>
    <row r="6" spans="1:12" ht="15" customHeight="1" x14ac:dyDescent="0.2">
      <c r="A6" s="5" t="s">
        <v>21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15" customHeight="1" x14ac:dyDescent="0.2">
      <c r="A7" s="20" t="s">
        <v>22</v>
      </c>
      <c r="B7" s="20" t="s">
        <v>10</v>
      </c>
      <c r="C7" s="20" t="s">
        <v>23</v>
      </c>
      <c r="D7" s="20" t="s">
        <v>11</v>
      </c>
      <c r="E7" s="20" t="s">
        <v>24</v>
      </c>
      <c r="F7" s="20" t="s">
        <v>12</v>
      </c>
      <c r="G7" s="20" t="s">
        <v>25</v>
      </c>
      <c r="H7" s="20" t="s">
        <v>26</v>
      </c>
      <c r="I7" s="20" t="s">
        <v>27</v>
      </c>
      <c r="J7" s="20" t="s">
        <v>28</v>
      </c>
      <c r="K7" s="20" t="s">
        <v>13</v>
      </c>
    </row>
    <row r="8" spans="1:12" ht="15" customHeight="1" x14ac:dyDescent="0.2">
      <c r="A8" s="7" t="s">
        <v>29</v>
      </c>
      <c r="B8" s="21">
        <v>48000</v>
      </c>
      <c r="C8" s="21">
        <v>50000</v>
      </c>
      <c r="D8" s="21">
        <v>52000</v>
      </c>
      <c r="E8" s="21">
        <v>54000</v>
      </c>
      <c r="F8" s="21">
        <v>55000</v>
      </c>
      <c r="G8" s="21">
        <v>55000</v>
      </c>
      <c r="H8" s="21">
        <v>55000</v>
      </c>
      <c r="I8" s="21">
        <v>55000</v>
      </c>
      <c r="J8" s="21">
        <v>55000</v>
      </c>
      <c r="K8" s="21">
        <v>55000</v>
      </c>
    </row>
    <row r="9" spans="1:12" ht="15" customHeight="1" x14ac:dyDescent="0.2">
      <c r="A9" s="4" t="s">
        <v>30</v>
      </c>
    </row>
    <row r="10" spans="1:12" ht="15" customHeight="1" x14ac:dyDescent="0.2">
      <c r="A10" s="5" t="s">
        <v>31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 ht="15" customHeight="1" x14ac:dyDescent="0.2">
      <c r="A11" s="7" t="s">
        <v>32</v>
      </c>
      <c r="B11" s="21">
        <v>16</v>
      </c>
    </row>
    <row r="12" spans="1:12" ht="15" customHeight="1" x14ac:dyDescent="0.2">
      <c r="A12" s="7" t="s">
        <v>33</v>
      </c>
      <c r="B12" s="21">
        <v>8</v>
      </c>
    </row>
    <row r="13" spans="1:12" ht="15" customHeight="1" x14ac:dyDescent="0.2">
      <c r="A13" s="7" t="s">
        <v>34</v>
      </c>
      <c r="B13" s="22">
        <v>0.6</v>
      </c>
    </row>
    <row r="14" spans="1:12" ht="15" customHeight="1" x14ac:dyDescent="0.2">
      <c r="A14" s="7" t="s">
        <v>35</v>
      </c>
      <c r="B14" s="21">
        <v>6</v>
      </c>
    </row>
    <row r="15" spans="1:12" ht="15" customHeight="1" x14ac:dyDescent="0.2">
      <c r="A15" s="7" t="s">
        <v>36</v>
      </c>
      <c r="B15" s="22">
        <v>0.5</v>
      </c>
    </row>
    <row r="16" spans="1:12" ht="15" customHeight="1" x14ac:dyDescent="0.2">
      <c r="A16" s="7" t="s">
        <v>37</v>
      </c>
      <c r="B16" s="21">
        <v>320</v>
      </c>
    </row>
    <row r="17" spans="1:12" ht="15" customHeight="1" x14ac:dyDescent="0.2">
      <c r="A17" s="7" t="s">
        <v>38</v>
      </c>
      <c r="B17" s="21">
        <v>2500</v>
      </c>
    </row>
    <row r="18" spans="1:12" ht="15" customHeight="1" x14ac:dyDescent="0.2">
      <c r="A18" s="7" t="s">
        <v>39</v>
      </c>
      <c r="B18" s="21">
        <v>9</v>
      </c>
    </row>
    <row r="19" spans="1:12" ht="15" customHeight="1" x14ac:dyDescent="0.2">
      <c r="A19" s="7" t="s">
        <v>40</v>
      </c>
      <c r="B19" s="21">
        <v>350</v>
      </c>
    </row>
    <row r="20" spans="1:12" ht="15" customHeight="1" x14ac:dyDescent="0.2">
      <c r="A20" s="7" t="s">
        <v>41</v>
      </c>
      <c r="B20" s="21">
        <v>150</v>
      </c>
    </row>
    <row r="22" spans="1:12" ht="15" customHeight="1" x14ac:dyDescent="0.2">
      <c r="A22" s="5" t="s">
        <v>42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 ht="15" customHeight="1" x14ac:dyDescent="0.2">
      <c r="A23" s="20" t="s">
        <v>43</v>
      </c>
      <c r="B23" s="20" t="s">
        <v>10</v>
      </c>
      <c r="C23" s="20" t="s">
        <v>23</v>
      </c>
      <c r="D23" s="20" t="s">
        <v>11</v>
      </c>
      <c r="E23" s="20" t="s">
        <v>24</v>
      </c>
      <c r="F23" s="20" t="s">
        <v>12</v>
      </c>
      <c r="G23" s="20" t="s">
        <v>25</v>
      </c>
      <c r="H23" s="20" t="s">
        <v>26</v>
      </c>
      <c r="I23" s="20" t="s">
        <v>27</v>
      </c>
      <c r="J23" s="20" t="s">
        <v>28</v>
      </c>
      <c r="K23" s="20" t="s">
        <v>13</v>
      </c>
    </row>
    <row r="24" spans="1:12" ht="15" customHeight="1" x14ac:dyDescent="0.2">
      <c r="A24" s="7" t="s">
        <v>44</v>
      </c>
      <c r="B24" s="21">
        <v>370</v>
      </c>
      <c r="C24" s="21">
        <v>370</v>
      </c>
      <c r="D24" s="21">
        <v>370</v>
      </c>
      <c r="E24" s="21">
        <v>400</v>
      </c>
      <c r="F24" s="21">
        <v>400</v>
      </c>
      <c r="G24" s="21">
        <v>400</v>
      </c>
      <c r="H24" s="21">
        <v>420</v>
      </c>
      <c r="I24" s="21">
        <v>420</v>
      </c>
      <c r="J24" s="21">
        <v>420</v>
      </c>
      <c r="K24" s="21">
        <v>420</v>
      </c>
    </row>
    <row r="25" spans="1:12" ht="15" customHeight="1" x14ac:dyDescent="0.2">
      <c r="A25" s="7" t="s">
        <v>45</v>
      </c>
      <c r="B25" s="21">
        <v>8</v>
      </c>
      <c r="C25" s="21">
        <v>12</v>
      </c>
      <c r="D25" s="21">
        <v>15</v>
      </c>
      <c r="E25" s="21">
        <v>15</v>
      </c>
      <c r="F25" s="21">
        <v>15</v>
      </c>
      <c r="G25" s="21">
        <v>15</v>
      </c>
      <c r="H25" s="21">
        <v>15</v>
      </c>
      <c r="I25" s="21">
        <v>15</v>
      </c>
      <c r="J25" s="21">
        <v>15</v>
      </c>
      <c r="K25" s="21">
        <v>15</v>
      </c>
    </row>
    <row r="26" spans="1:12" ht="15" customHeight="1" x14ac:dyDescent="0.2">
      <c r="A26" s="7" t="s">
        <v>46</v>
      </c>
      <c r="B26" s="21">
        <v>1000</v>
      </c>
      <c r="C26" s="21">
        <v>1200</v>
      </c>
      <c r="D26" s="21">
        <v>1200</v>
      </c>
      <c r="E26" s="21">
        <v>1400</v>
      </c>
      <c r="F26" s="21">
        <v>1400</v>
      </c>
      <c r="G26" s="21">
        <v>1400</v>
      </c>
      <c r="H26" s="21">
        <v>1500</v>
      </c>
      <c r="I26" s="21">
        <v>1500</v>
      </c>
      <c r="J26" s="21">
        <v>1500</v>
      </c>
      <c r="K26" s="21">
        <v>1500</v>
      </c>
    </row>
    <row r="27" spans="1:12" ht="15" customHeight="1" x14ac:dyDescent="0.2">
      <c r="A27" s="7" t="s">
        <v>47</v>
      </c>
      <c r="B27" s="21">
        <v>180</v>
      </c>
      <c r="C27" s="21">
        <v>200</v>
      </c>
      <c r="D27" s="21">
        <v>220</v>
      </c>
      <c r="E27" s="21">
        <v>240</v>
      </c>
      <c r="F27" s="21">
        <v>250</v>
      </c>
      <c r="G27" s="21">
        <v>270</v>
      </c>
      <c r="H27" s="21">
        <v>300</v>
      </c>
      <c r="I27" s="21">
        <v>300</v>
      </c>
      <c r="J27" s="21">
        <v>300</v>
      </c>
      <c r="K27" s="21">
        <v>300</v>
      </c>
    </row>
    <row r="28" spans="1:12" ht="15" customHeight="1" x14ac:dyDescent="0.2">
      <c r="A28" s="7" t="s">
        <v>48</v>
      </c>
      <c r="B28" s="21">
        <v>250</v>
      </c>
      <c r="C28" s="21">
        <v>270</v>
      </c>
      <c r="D28" s="21">
        <v>300</v>
      </c>
      <c r="E28" s="21">
        <v>300</v>
      </c>
      <c r="F28" s="21">
        <v>300</v>
      </c>
      <c r="G28" s="21">
        <v>300</v>
      </c>
      <c r="H28" s="21">
        <v>300</v>
      </c>
      <c r="I28" s="21">
        <v>300</v>
      </c>
      <c r="J28" s="21">
        <v>300</v>
      </c>
      <c r="K28" s="21">
        <v>300</v>
      </c>
    </row>
    <row r="30" spans="1:12" ht="15" customHeight="1" x14ac:dyDescent="0.2">
      <c r="A30" s="5" t="s">
        <v>49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</row>
    <row r="31" spans="1:12" ht="15" customHeight="1" x14ac:dyDescent="0.2">
      <c r="A31" s="20" t="s">
        <v>50</v>
      </c>
      <c r="B31" s="20" t="s">
        <v>51</v>
      </c>
    </row>
    <row r="32" spans="1:12" ht="15" customHeight="1" x14ac:dyDescent="0.2">
      <c r="A32" s="7" t="s">
        <v>169</v>
      </c>
      <c r="B32" s="21">
        <v>290</v>
      </c>
    </row>
    <row r="33" spans="1:12" ht="15" customHeight="1" x14ac:dyDescent="0.2">
      <c r="A33" s="7" t="s">
        <v>52</v>
      </c>
      <c r="B33" s="21">
        <v>84</v>
      </c>
    </row>
    <row r="34" spans="1:12" ht="15" customHeight="1" x14ac:dyDescent="0.2">
      <c r="A34" s="7" t="s">
        <v>167</v>
      </c>
      <c r="B34" s="21">
        <v>110</v>
      </c>
    </row>
    <row r="35" spans="1:12" ht="15" customHeight="1" x14ac:dyDescent="0.2">
      <c r="A35" s="7" t="s">
        <v>53</v>
      </c>
      <c r="B35" s="21">
        <v>42</v>
      </c>
    </row>
    <row r="36" spans="1:12" ht="15" customHeight="1" x14ac:dyDescent="0.2">
      <c r="A36" s="7" t="s">
        <v>54</v>
      </c>
      <c r="B36" s="21">
        <v>50</v>
      </c>
    </row>
    <row r="37" spans="1:12" ht="15" customHeight="1" x14ac:dyDescent="0.2">
      <c r="A37" s="7" t="s">
        <v>55</v>
      </c>
      <c r="B37" s="21">
        <v>30</v>
      </c>
    </row>
    <row r="38" spans="1:12" ht="15" customHeight="1" x14ac:dyDescent="0.2">
      <c r="A38" s="7" t="s">
        <v>56</v>
      </c>
      <c r="B38" s="21">
        <v>18</v>
      </c>
    </row>
    <row r="39" spans="1:12" ht="15" customHeight="1" x14ac:dyDescent="0.2">
      <c r="A39" s="7" t="s">
        <v>57</v>
      </c>
      <c r="B39" s="21">
        <v>16</v>
      </c>
    </row>
    <row r="40" spans="1:12" ht="15" customHeight="1" x14ac:dyDescent="0.2">
      <c r="A40" s="7" t="s">
        <v>58</v>
      </c>
      <c r="B40" s="21">
        <v>20</v>
      </c>
    </row>
    <row r="41" spans="1:12" ht="15" customHeight="1" x14ac:dyDescent="0.2">
      <c r="A41" s="7" t="s">
        <v>59</v>
      </c>
      <c r="B41" s="21">
        <v>30</v>
      </c>
    </row>
    <row r="43" spans="1:12" ht="15" customHeight="1" x14ac:dyDescent="0.2">
      <c r="A43" s="5" t="s">
        <v>60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 ht="15" customHeight="1" x14ac:dyDescent="0.2">
      <c r="A44" s="7" t="s">
        <v>61</v>
      </c>
      <c r="B44" s="22">
        <v>0.2</v>
      </c>
    </row>
    <row r="45" spans="1:12" ht="15" customHeight="1" x14ac:dyDescent="0.2">
      <c r="A45" s="7" t="s">
        <v>62</v>
      </c>
      <c r="B45" s="22">
        <v>0.1</v>
      </c>
    </row>
    <row r="46" spans="1:12" ht="15" customHeight="1" x14ac:dyDescent="0.2">
      <c r="A46" s="7" t="s">
        <v>63</v>
      </c>
      <c r="B46" s="22">
        <v>0.35</v>
      </c>
    </row>
    <row r="47" spans="1:12" ht="15" customHeight="1" x14ac:dyDescent="0.2">
      <c r="A47" s="7" t="s">
        <v>64</v>
      </c>
      <c r="B47" s="22">
        <v>2.5000000000000001E-2</v>
      </c>
    </row>
    <row r="48" spans="1:12" ht="15" customHeight="1" x14ac:dyDescent="0.2">
      <c r="A48" s="7" t="s">
        <v>65</v>
      </c>
      <c r="B48" s="22"/>
    </row>
    <row r="49" spans="1:12" ht="15" customHeight="1" x14ac:dyDescent="0.2">
      <c r="A49" s="7" t="s">
        <v>66</v>
      </c>
      <c r="B49" s="22">
        <v>0.02</v>
      </c>
    </row>
    <row r="50" spans="1:12" ht="15" customHeight="1" x14ac:dyDescent="0.2">
      <c r="A50" s="7" t="s">
        <v>67</v>
      </c>
      <c r="B50" s="22">
        <v>0.04</v>
      </c>
      <c r="C50" s="23">
        <v>8</v>
      </c>
    </row>
    <row r="51" spans="1:12" ht="15" customHeight="1" x14ac:dyDescent="0.2">
      <c r="A51" s="5" t="s">
        <v>68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1:12" ht="15" customHeight="1" x14ac:dyDescent="0.2">
      <c r="A52" s="20" t="s">
        <v>43</v>
      </c>
      <c r="B52" s="13" t="s">
        <v>10</v>
      </c>
      <c r="C52" s="13" t="s">
        <v>23</v>
      </c>
      <c r="D52" s="13" t="s">
        <v>11</v>
      </c>
      <c r="E52" s="13" t="s">
        <v>24</v>
      </c>
      <c r="F52" s="13" t="s">
        <v>12</v>
      </c>
      <c r="G52" s="13" t="s">
        <v>25</v>
      </c>
      <c r="H52" s="13" t="s">
        <v>26</v>
      </c>
      <c r="I52" s="13" t="s">
        <v>27</v>
      </c>
      <c r="J52" s="13" t="s">
        <v>28</v>
      </c>
      <c r="K52" s="13" t="s">
        <v>13</v>
      </c>
    </row>
    <row r="53" spans="1:12" ht="15" customHeight="1" x14ac:dyDescent="0.2">
      <c r="A53" s="7" t="s">
        <v>32</v>
      </c>
      <c r="B53" s="24">
        <f>CEILING($B$11*(1+$B$49)^0,0.5)</f>
        <v>16</v>
      </c>
      <c r="C53" s="24">
        <f>CEILING($B$11*(1+$B$49)^1,0.5)</f>
        <v>16.5</v>
      </c>
      <c r="D53" s="24">
        <f>CEILING($B$11*(1+$B$49)^2,0.5)</f>
        <v>17</v>
      </c>
      <c r="E53" s="24">
        <f>CEILING($B$11*(1+$B$49)^3,0.5)</f>
        <v>17</v>
      </c>
      <c r="F53" s="24">
        <f>CEILING($B$11*(1+$B$49)^4,0.5)</f>
        <v>17.5</v>
      </c>
      <c r="G53" s="24">
        <f>CEILING($B$11*(1+$B$49)^5,0.5)</f>
        <v>18</v>
      </c>
      <c r="H53" s="24">
        <f>CEILING($B$11*(1+$B$49)^6,0.5)</f>
        <v>18.5</v>
      </c>
      <c r="I53" s="24">
        <f>CEILING($B$11*(1+$B$49)^7,0.5)</f>
        <v>18.5</v>
      </c>
      <c r="J53" s="24">
        <f>CEILING($B$11*(1+$B$49)^8,0.5)</f>
        <v>19</v>
      </c>
      <c r="K53" s="24">
        <f>CEILING($B$11*(1+$B$49)^9,0.5)</f>
        <v>19.5</v>
      </c>
    </row>
    <row r="54" spans="1:12" ht="15" customHeight="1" x14ac:dyDescent="0.2">
      <c r="A54" s="7" t="s">
        <v>33</v>
      </c>
      <c r="B54" s="24">
        <f>CEILING($B$12*(1+$B$49)^0,0.5)</f>
        <v>8</v>
      </c>
      <c r="C54" s="24">
        <f>CEILING($B$12*(1+$B$49)^1,0.5)</f>
        <v>8.5</v>
      </c>
      <c r="D54" s="24">
        <f>CEILING($B$12*(1+$B$49)^2,0.5)</f>
        <v>8.5</v>
      </c>
      <c r="E54" s="24">
        <f>CEILING($B$12*(1+$B$49)^3,0.5)</f>
        <v>8.5</v>
      </c>
      <c r="F54" s="24">
        <f>CEILING($B$12*(1+$B$49)^4,0.5)</f>
        <v>9</v>
      </c>
      <c r="G54" s="24">
        <f>CEILING($B$12*(1+$B$49)^5,0.5)</f>
        <v>9</v>
      </c>
      <c r="H54" s="24">
        <f>CEILING($B$12*(1+$B$49)^6,0.5)</f>
        <v>9.5</v>
      </c>
      <c r="I54" s="24">
        <f>CEILING($B$12*(1+$B$49)^7,0.5)</f>
        <v>9.5</v>
      </c>
      <c r="J54" s="24">
        <f>CEILING($B$12*(1+$B$49)^8,0.5)</f>
        <v>9.5</v>
      </c>
      <c r="K54" s="24">
        <f>CEILING($B$12*(1+$B$49)^9,0.5)</f>
        <v>10</v>
      </c>
    </row>
    <row r="55" spans="1:12" ht="15" customHeight="1" x14ac:dyDescent="0.2">
      <c r="A55" s="7" t="s">
        <v>69</v>
      </c>
      <c r="B55" s="24">
        <f>CEILING($B$14*(1+$B$49)^0,0.5)</f>
        <v>6</v>
      </c>
      <c r="C55" s="24">
        <f>CEILING($B$14*(1+$B$49)^1,0.5)</f>
        <v>6.5</v>
      </c>
      <c r="D55" s="24">
        <f>CEILING($B$14*(1+$B$49)^2,0.5)</f>
        <v>6.5</v>
      </c>
      <c r="E55" s="24">
        <f>CEILING($B$14*(1+$B$49)^3,0.5)</f>
        <v>6.5</v>
      </c>
      <c r="F55" s="24">
        <f>CEILING($B$14*(1+$B$49)^4,0.5)</f>
        <v>6.5</v>
      </c>
      <c r="G55" s="24">
        <f>CEILING($B$14*(1+$B$49)^5,0.5)</f>
        <v>7</v>
      </c>
      <c r="H55" s="24">
        <f>CEILING($B$14*(1+$B$49)^6,0.5)</f>
        <v>7</v>
      </c>
      <c r="I55" s="24">
        <f>CEILING($B$14*(1+$B$49)^7,0.5)</f>
        <v>7</v>
      </c>
      <c r="J55" s="24">
        <f>CEILING($B$14*(1+$B$49)^8,0.5)</f>
        <v>7.5</v>
      </c>
      <c r="K55" s="24">
        <f>CEILING($B$14*(1+$B$49)^9,0.5)</f>
        <v>7.5</v>
      </c>
    </row>
    <row r="56" spans="1:12" ht="15" customHeight="1" x14ac:dyDescent="0.2">
      <c r="A56" s="7" t="s">
        <v>70</v>
      </c>
      <c r="B56" s="24">
        <f>CEILING($B$16*(1+$B$49)^0,5)</f>
        <v>320</v>
      </c>
      <c r="C56" s="24">
        <f>CEILING($B$16*(1+$B$49)^1,5)</f>
        <v>330</v>
      </c>
      <c r="D56" s="24">
        <f>CEILING($B$16*(1+$B$49)^2,5)</f>
        <v>335</v>
      </c>
      <c r="E56" s="24">
        <f>CEILING($B$16*(1+$B$49)^3,5)</f>
        <v>340</v>
      </c>
      <c r="F56" s="24">
        <f>CEILING($B$16*(1+$B$49)^4,5)</f>
        <v>350</v>
      </c>
      <c r="G56" s="24">
        <f>CEILING($B$16*(1+$B$49)^5,5)</f>
        <v>355</v>
      </c>
      <c r="H56" s="24">
        <f>CEILING($B$16*(1+$B$49)^6,5)</f>
        <v>365</v>
      </c>
      <c r="I56" s="24">
        <f>CEILING($B$16*(1+$B$49)^7,5)</f>
        <v>370</v>
      </c>
      <c r="J56" s="24">
        <f>CEILING($B$16*(1+$B$49)^8,5)</f>
        <v>375</v>
      </c>
      <c r="K56" s="24">
        <f>CEILING($B$16*(1+$B$49)^9,5)</f>
        <v>385</v>
      </c>
    </row>
    <row r="57" spans="1:12" ht="15" customHeight="1" x14ac:dyDescent="0.2">
      <c r="A57" s="7" t="s">
        <v>71</v>
      </c>
      <c r="B57" s="24">
        <f>CEILING($B$17*(1+$B$49)^0,50)</f>
        <v>2500</v>
      </c>
      <c r="C57" s="24">
        <f>CEILING($B$17*(1+$B$49)^1,50)</f>
        <v>2550</v>
      </c>
      <c r="D57" s="24">
        <f>CEILING($B$17*(1+$B$49)^2,50)</f>
        <v>2650</v>
      </c>
      <c r="E57" s="24">
        <f>CEILING($B$17*(1+$B$49)^3,50)</f>
        <v>2700</v>
      </c>
      <c r="F57" s="24">
        <f>CEILING($B$17*(1+$B$49)^4,50)</f>
        <v>2750</v>
      </c>
      <c r="G57" s="24">
        <f>CEILING($B$17*(1+$B$49)^5,50)</f>
        <v>2800</v>
      </c>
      <c r="H57" s="24">
        <f>CEILING($B$17*(1+$B$49)^6,50)</f>
        <v>2850</v>
      </c>
      <c r="I57" s="24">
        <f>CEILING($B$17*(1+$B$49)^7,50)</f>
        <v>2900</v>
      </c>
      <c r="J57" s="24">
        <f>CEILING($B$17*(1+$B$49)^8,50)</f>
        <v>2950</v>
      </c>
      <c r="K57" s="24">
        <f>CEILING($B$17*(1+$B$49)^9,50)</f>
        <v>3000</v>
      </c>
    </row>
    <row r="58" spans="1:12" ht="15" customHeight="1" x14ac:dyDescent="0.2">
      <c r="A58" s="7" t="s">
        <v>72</v>
      </c>
      <c r="B58" s="24">
        <f>CEILING($B$18*(1+$B$49)^0,0.5)</f>
        <v>9</v>
      </c>
      <c r="C58" s="24">
        <f>CEILING($B$18*(1+$B$49)^1,0.5)</f>
        <v>9.5</v>
      </c>
      <c r="D58" s="24">
        <f>CEILING($B$18*(1+$B$49)^2,0.5)</f>
        <v>9.5</v>
      </c>
      <c r="E58" s="24">
        <f>CEILING($B$18*(1+$B$49)^3,0.5)</f>
        <v>10</v>
      </c>
      <c r="F58" s="24">
        <f>CEILING($B$18*(1+$B$49)^4,0.5)</f>
        <v>10</v>
      </c>
      <c r="G58" s="24">
        <f>CEILING($B$18*(1+$B$49)^5,0.5)</f>
        <v>10</v>
      </c>
      <c r="H58" s="24">
        <f>CEILING($B$18*(1+$B$49)^6,0.5)</f>
        <v>10.5</v>
      </c>
      <c r="I58" s="24">
        <f>CEILING($B$18*(1+$B$49)^7,0.5)</f>
        <v>10.5</v>
      </c>
      <c r="J58" s="24">
        <f>CEILING($B$18*(1+$B$49)^8,0.5)</f>
        <v>11</v>
      </c>
      <c r="K58" s="24">
        <f>CEILING($B$18*(1+$B$49)^9,0.5)</f>
        <v>11</v>
      </c>
    </row>
    <row r="59" spans="1:12" ht="15" customHeight="1" x14ac:dyDescent="0.2">
      <c r="A59" s="7" t="s">
        <v>73</v>
      </c>
      <c r="B59" s="24">
        <f>CEILING($B$19*(1+$B$49)^0,10)</f>
        <v>350</v>
      </c>
      <c r="C59" s="24">
        <f>CEILING($B$19*(1+$B$49)^1,10)</f>
        <v>360</v>
      </c>
      <c r="D59" s="24">
        <f>CEILING($B$19*(1+$B$49)^2,10)</f>
        <v>370</v>
      </c>
      <c r="E59" s="24">
        <f>CEILING($B$19*(1+$B$49)^3,10)</f>
        <v>380</v>
      </c>
      <c r="F59" s="24">
        <f>CEILING($B$19*(1+$B$49)^4,10)</f>
        <v>380</v>
      </c>
      <c r="G59" s="24">
        <f>CEILING($B$19*(1+$B$49)^5,10)</f>
        <v>390</v>
      </c>
      <c r="H59" s="24">
        <f>CEILING($B$19*(1+$B$49)^6,10)</f>
        <v>400</v>
      </c>
      <c r="I59" s="24">
        <f>CEILING($B$19*(1+$B$49)^7,10)</f>
        <v>410</v>
      </c>
      <c r="J59" s="24">
        <f>CEILING($B$19*(1+$B$49)^8,10)</f>
        <v>420</v>
      </c>
      <c r="K59" s="24">
        <f>CEILING($B$19*(1+$B$49)^9,10)</f>
        <v>420</v>
      </c>
    </row>
    <row r="60" spans="1:12" ht="15" customHeight="1" x14ac:dyDescent="0.2">
      <c r="A60" s="7" t="s">
        <v>74</v>
      </c>
      <c r="B60" s="24">
        <f>CEILING($B$20*(1+$B$49)^0,5)</f>
        <v>150</v>
      </c>
      <c r="C60" s="24">
        <f>CEILING($B$20*(1+$B$49)^1,5)</f>
        <v>155</v>
      </c>
      <c r="D60" s="24">
        <f>CEILING($B$20*(1+$B$49)^2,5)</f>
        <v>160</v>
      </c>
      <c r="E60" s="24">
        <f>CEILING($B$20*(1+$B$49)^3,5)</f>
        <v>160</v>
      </c>
      <c r="F60" s="24">
        <f>CEILING($B$20*(1+$B$49)^4,5)</f>
        <v>165</v>
      </c>
      <c r="G60" s="24">
        <f>CEILING($B$20*(1+$B$49)^5,5)</f>
        <v>170</v>
      </c>
      <c r="H60" s="24">
        <f>CEILING($B$20*(1+$B$49)^6,5)</f>
        <v>170</v>
      </c>
      <c r="I60" s="24">
        <f>CEILING($B$20*(1+$B$49)^7,5)</f>
        <v>175</v>
      </c>
      <c r="J60" s="24">
        <f>CEILING($B$20*(1+$B$49)^8,5)</f>
        <v>180</v>
      </c>
      <c r="K60" s="24">
        <f>CEILING($B$20*(1+$B$49)^9,5)</f>
        <v>180</v>
      </c>
    </row>
    <row r="61" spans="1:12" ht="15" customHeight="1" x14ac:dyDescent="0.2">
      <c r="A61" s="25" t="s">
        <v>170</v>
      </c>
      <c r="B61" s="24">
        <f t="shared" ref="B61:K61" si="0">($B$13*B53+(1-$B$13)*B54)</f>
        <v>12.8</v>
      </c>
      <c r="C61" s="24">
        <f t="shared" si="0"/>
        <v>13.3</v>
      </c>
      <c r="D61" s="24">
        <f t="shared" si="0"/>
        <v>13.6</v>
      </c>
      <c r="E61" s="24">
        <f t="shared" si="0"/>
        <v>13.6</v>
      </c>
      <c r="F61" s="24">
        <f t="shared" si="0"/>
        <v>14.1</v>
      </c>
      <c r="G61" s="24">
        <f t="shared" si="0"/>
        <v>14.399999999999999</v>
      </c>
      <c r="H61" s="24">
        <f t="shared" si="0"/>
        <v>14.9</v>
      </c>
      <c r="I61" s="24">
        <f t="shared" si="0"/>
        <v>14.9</v>
      </c>
      <c r="J61" s="24">
        <f t="shared" si="0"/>
        <v>15.200000000000001</v>
      </c>
      <c r="K61" s="24">
        <f t="shared" si="0"/>
        <v>15.7</v>
      </c>
    </row>
    <row r="62" spans="1:12" ht="15" customHeight="1" x14ac:dyDescent="0.2">
      <c r="A62" s="4" t="s">
        <v>75</v>
      </c>
    </row>
    <row r="64" spans="1:12" ht="15" customHeight="1" x14ac:dyDescent="0.2">
      <c r="A64" s="5" t="s">
        <v>76</v>
      </c>
    </row>
    <row r="65" spans="1:3" ht="15" customHeight="1" x14ac:dyDescent="0.2">
      <c r="A65" s="7" t="s">
        <v>77</v>
      </c>
      <c r="B65" s="22">
        <v>0.12</v>
      </c>
    </row>
    <row r="66" spans="1:3" ht="15" customHeight="1" x14ac:dyDescent="0.2">
      <c r="A66" s="7" t="s">
        <v>78</v>
      </c>
      <c r="B66" s="22">
        <f>1/(B73/(1+C73)+B74/(1+C74)+B75/(1+C75))-1</f>
        <v>0.13691275167785255</v>
      </c>
    </row>
    <row r="67" spans="1:3" ht="15" customHeight="1" x14ac:dyDescent="0.2">
      <c r="A67" s="7" t="s">
        <v>79</v>
      </c>
      <c r="B67" s="22">
        <v>0.12</v>
      </c>
    </row>
    <row r="68" spans="1:3" ht="15" customHeight="1" x14ac:dyDescent="0.2">
      <c r="A68" s="7" t="s">
        <v>80</v>
      </c>
      <c r="B68" s="22">
        <v>0.21</v>
      </c>
    </row>
    <row r="69" spans="1:3" ht="15" customHeight="1" x14ac:dyDescent="0.2">
      <c r="A69" s="7" t="s">
        <v>81</v>
      </c>
      <c r="B69" s="22">
        <v>0.12</v>
      </c>
    </row>
    <row r="70" spans="1:3" ht="15" customHeight="1" x14ac:dyDescent="0.2">
      <c r="A70" s="7" t="s">
        <v>82</v>
      </c>
      <c r="B70" s="22">
        <v>0.21</v>
      </c>
    </row>
    <row r="71" spans="1:3" ht="15" customHeight="1" x14ac:dyDescent="0.2">
      <c r="A71" s="7" t="s">
        <v>83</v>
      </c>
      <c r="B71" s="22">
        <v>0.12</v>
      </c>
    </row>
    <row r="72" spans="1:3" ht="15" customHeight="1" x14ac:dyDescent="0.2">
      <c r="A72" s="4" t="s">
        <v>84</v>
      </c>
    </row>
    <row r="73" spans="1:3" ht="15" customHeight="1" x14ac:dyDescent="0.2">
      <c r="A73" s="7" t="s">
        <v>85</v>
      </c>
      <c r="B73" s="22">
        <v>0.5</v>
      </c>
      <c r="C73" s="22">
        <v>0.12</v>
      </c>
    </row>
    <row r="74" spans="1:3" ht="15" customHeight="1" x14ac:dyDescent="0.2">
      <c r="A74" s="7" t="s">
        <v>86</v>
      </c>
      <c r="B74" s="22">
        <v>0.3</v>
      </c>
      <c r="C74" s="22">
        <v>0.12</v>
      </c>
    </row>
    <row r="75" spans="1:3" ht="15" customHeight="1" x14ac:dyDescent="0.2">
      <c r="A75" s="7" t="s">
        <v>87</v>
      </c>
      <c r="B75" s="22">
        <v>0.2</v>
      </c>
      <c r="C75" s="22">
        <v>0.21</v>
      </c>
    </row>
    <row r="76" spans="1:3" ht="15" customHeight="1" x14ac:dyDescent="0.2">
      <c r="A76" s="4" t="s">
        <v>88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67B4E"/>
  </sheetPr>
  <dimension ref="A1:K25"/>
  <sheetViews>
    <sheetView zoomScaleNormal="100" zoomScalePageLayoutView="60" workbookViewId="0">
      <selection activeCell="B8" sqref="B8"/>
    </sheetView>
  </sheetViews>
  <sheetFormatPr baseColWidth="10" defaultColWidth="8.6640625" defaultRowHeight="15" x14ac:dyDescent="0.2"/>
  <cols>
    <col min="1" max="1" width="44" customWidth="1"/>
    <col min="2" max="11" width="13" customWidth="1"/>
  </cols>
  <sheetData>
    <row r="1" spans="1:11" ht="15" customHeight="1" x14ac:dyDescent="0.2">
      <c r="A1" s="3" t="s">
        <v>89</v>
      </c>
    </row>
    <row r="2" spans="1:11" ht="15" customHeight="1" x14ac:dyDescent="0.2">
      <c r="A2" s="4" t="str">
        <f>"Scénario actif : "&amp;Hypothèses!D3</f>
        <v>Scénario actif : BASE</v>
      </c>
    </row>
    <row r="4" spans="1:11" ht="15" customHeight="1" x14ac:dyDescent="0.2">
      <c r="A4" s="20" t="s">
        <v>90</v>
      </c>
      <c r="B4" s="20" t="s">
        <v>91</v>
      </c>
      <c r="C4" s="20" t="s">
        <v>92</v>
      </c>
      <c r="D4" s="20" t="s">
        <v>93</v>
      </c>
      <c r="E4" s="20" t="s">
        <v>94</v>
      </c>
      <c r="F4" s="20" t="s">
        <v>95</v>
      </c>
      <c r="G4" s="20" t="s">
        <v>96</v>
      </c>
      <c r="H4" s="20" t="s">
        <v>97</v>
      </c>
      <c r="I4" s="20" t="s">
        <v>98</v>
      </c>
      <c r="J4" s="20" t="s">
        <v>99</v>
      </c>
      <c r="K4" s="20" t="s">
        <v>100</v>
      </c>
    </row>
    <row r="5" spans="1:11" ht="15" customHeight="1" x14ac:dyDescent="0.2">
      <c r="A5" s="7" t="s">
        <v>101</v>
      </c>
      <c r="B5" s="10">
        <f>Hypothèses!B8*Hypothèses!$C$4</f>
        <v>48000</v>
      </c>
      <c r="C5" s="10">
        <f>Hypothèses!C8*Hypothèses!$C$4</f>
        <v>50000</v>
      </c>
      <c r="D5" s="10">
        <f>Hypothèses!D8*Hypothèses!$C$4</f>
        <v>52000</v>
      </c>
      <c r="E5" s="10">
        <f>Hypothèses!E8*Hypothèses!$C$4</f>
        <v>54000</v>
      </c>
      <c r="F5" s="10">
        <f>Hypothèses!F8*Hypothèses!$C$4</f>
        <v>55000</v>
      </c>
      <c r="G5" s="10">
        <f>Hypothèses!G8*Hypothèses!$C$4</f>
        <v>55000</v>
      </c>
      <c r="H5" s="10">
        <f>Hypothèses!H8*Hypothèses!$C$4</f>
        <v>55000</v>
      </c>
      <c r="I5" s="10">
        <f>Hypothèses!I8*Hypothèses!$C$4</f>
        <v>55000</v>
      </c>
      <c r="J5" s="10">
        <f>Hypothèses!J8*Hypothèses!$C$4</f>
        <v>55000</v>
      </c>
      <c r="K5" s="10">
        <f>Hypothèses!K8*Hypothèses!$C$4</f>
        <v>55000</v>
      </c>
    </row>
    <row r="6" spans="1:11" ht="15" customHeight="1" x14ac:dyDescent="0.2">
      <c r="A6" s="7" t="s">
        <v>102</v>
      </c>
      <c r="B6" s="26">
        <f>Hypothèses!B61/(1+Hypothèses!$B$65)</f>
        <v>11.428571428571429</v>
      </c>
      <c r="C6">
        <f>Hypothèses!C61/(1+Hypothèses!$B$65)</f>
        <v>11.875</v>
      </c>
      <c r="D6">
        <f>Hypothèses!D61/(1+Hypothèses!$B$65)</f>
        <v>12.142857142857141</v>
      </c>
      <c r="E6">
        <f>Hypothèses!E61/(1+Hypothèses!$B$65)</f>
        <v>12.142857142857141</v>
      </c>
      <c r="F6">
        <f>Hypothèses!F61/(1+Hypothèses!$B$65)</f>
        <v>12.589285714285714</v>
      </c>
      <c r="G6">
        <f>Hypothèses!G61/(1+Hypothèses!$B$65)</f>
        <v>12.857142857142854</v>
      </c>
      <c r="H6">
        <f>Hypothèses!H61/(1+Hypothèses!$B$65)</f>
        <v>13.303571428571427</v>
      </c>
      <c r="I6">
        <f>Hypothèses!I61/(1+Hypothèses!$B$65)</f>
        <v>13.303571428571427</v>
      </c>
      <c r="J6">
        <f>Hypothèses!J61/(1+Hypothèses!$B$65)</f>
        <v>13.571428571428571</v>
      </c>
      <c r="K6">
        <f>Hypothèses!K61/(1+Hypothèses!$B$65)</f>
        <v>14.017857142857141</v>
      </c>
    </row>
    <row r="7" spans="1:11" ht="15" customHeight="1" x14ac:dyDescent="0.2">
      <c r="A7" s="7" t="s">
        <v>103</v>
      </c>
      <c r="B7" s="27">
        <f>B5*Hypothèses!B61/(1+Hypothèses!$B$65)</f>
        <v>548571.42857142852</v>
      </c>
      <c r="C7" s="27">
        <f>C5*Hypothèses!C61/(1+Hypothèses!$B$65)</f>
        <v>593750</v>
      </c>
      <c r="D7" s="27">
        <f>D5*Hypothèses!D61/(1+Hypothèses!$B$65)</f>
        <v>631428.57142857136</v>
      </c>
      <c r="E7" s="27">
        <f>E5*Hypothèses!E61/(1+Hypothèses!$B$65)</f>
        <v>655714.28571428568</v>
      </c>
      <c r="F7" s="27">
        <f>F5*Hypothèses!F61/(1+Hypothèses!$B$65)</f>
        <v>692410.7142857142</v>
      </c>
      <c r="G7" s="27">
        <f>G5*Hypothèses!G61/(1+Hypothèses!$B$65)</f>
        <v>707142.85714285693</v>
      </c>
      <c r="H7" s="27">
        <f>H5*Hypothèses!H61/(1+Hypothèses!$B$65)</f>
        <v>731696.42857142852</v>
      </c>
      <c r="I7" s="27">
        <f>I5*Hypothèses!I61/(1+Hypothèses!$B$65)</f>
        <v>731696.42857142852</v>
      </c>
      <c r="J7" s="27">
        <f>J5*Hypothèses!J61/(1+Hypothèses!$B$65)</f>
        <v>746428.57142857148</v>
      </c>
      <c r="K7" s="27">
        <f>K5*Hypothèses!K61/(1+Hypothèses!$B$65)</f>
        <v>770982.14285714284</v>
      </c>
    </row>
    <row r="8" spans="1:11" ht="15" customHeight="1" x14ac:dyDescent="0.2">
      <c r="A8" s="7" t="s">
        <v>104</v>
      </c>
      <c r="B8" s="27">
        <f>B5*Hypothèses!$B$15*Hypothèses!B55/(1+Hypothèses!$B$66)</f>
        <v>126658.79574970482</v>
      </c>
      <c r="C8" s="27">
        <f>C5*Hypothèses!$B$15*Hypothèses!C55/(1+Hypothèses!$B$66)</f>
        <v>142930.93270365996</v>
      </c>
      <c r="D8" s="27">
        <f>D5*Hypothèses!$B$15*Hypothèses!D55/(1+Hypothèses!$B$66)</f>
        <v>148648.17001180636</v>
      </c>
      <c r="E8" s="27">
        <f>E5*Hypothèses!$B$15*Hypothèses!E55/(1+Hypothèses!$B$66)</f>
        <v>154365.40731995273</v>
      </c>
      <c r="F8" s="27">
        <f>F5*Hypothèses!$B$15*Hypothèses!F55/(1+Hypothèses!$B$66)</f>
        <v>157224.02597402595</v>
      </c>
      <c r="G8" s="27">
        <f>G5*Hypothèses!$B$15*Hypothèses!G55/(1+Hypothèses!$B$66)</f>
        <v>169318.18181818179</v>
      </c>
      <c r="H8" s="27">
        <f>H5*Hypothèses!$B$15*Hypothèses!H55/(1+Hypothèses!$B$66)</f>
        <v>169318.18181818179</v>
      </c>
      <c r="I8" s="27">
        <f>I5*Hypothèses!$B$15*Hypothèses!I55/(1+Hypothèses!$B$66)</f>
        <v>169318.18181818179</v>
      </c>
      <c r="J8" s="27">
        <f>J5*Hypothèses!$B$15*Hypothèses!J55/(1+Hypothèses!$B$66)</f>
        <v>181412.33766233764</v>
      </c>
      <c r="K8" s="27">
        <f>K5*Hypothèses!$B$15*Hypothèses!K55/(1+Hypothèses!$B$66)</f>
        <v>181412.33766233764</v>
      </c>
    </row>
    <row r="9" spans="1:11" ht="15" customHeight="1" x14ac:dyDescent="0.2">
      <c r="A9" s="7" t="s">
        <v>105</v>
      </c>
      <c r="B9" s="27">
        <f>Hypothèses!B24*Hypothèses!$C$4*Hypothèses!B56/(1+Hypothèses!$B$67)</f>
        <v>105714.28571428571</v>
      </c>
      <c r="C9" s="27">
        <f>Hypothèses!C24*Hypothèses!$C$4*Hypothèses!C56/(1+Hypothèses!$B$67)</f>
        <v>109017.85714285713</v>
      </c>
      <c r="D9" s="27">
        <f>Hypothèses!D24*Hypothèses!$C$4*Hypothèses!D56/(1+Hypothèses!$B$67)</f>
        <v>110669.64285714284</v>
      </c>
      <c r="E9" s="27">
        <f>Hypothèses!E24*Hypothèses!$C$4*Hypothèses!E56/(1+Hypothèses!$B$67)</f>
        <v>121428.57142857142</v>
      </c>
      <c r="F9" s="27">
        <f>Hypothèses!F24*Hypothèses!$C$4*Hypothèses!F56/(1+Hypothèses!$B$67)</f>
        <v>124999.99999999999</v>
      </c>
      <c r="G9" s="27">
        <f>Hypothèses!G24*Hypothèses!$C$4*Hypothèses!G56/(1+Hypothèses!$B$67)</f>
        <v>126785.71428571428</v>
      </c>
      <c r="H9" s="27">
        <f>Hypothèses!H24*Hypothèses!$C$4*Hypothèses!H56/(1+Hypothèses!$B$67)</f>
        <v>136875</v>
      </c>
      <c r="I9" s="27">
        <f>Hypothèses!I24*Hypothèses!$C$4*Hypothèses!I56/(1+Hypothèses!$B$67)</f>
        <v>138750</v>
      </c>
      <c r="J9" s="27">
        <f>Hypothèses!J24*Hypothèses!$C$4*Hypothèses!J56/(1+Hypothèses!$B$67)</f>
        <v>140625</v>
      </c>
      <c r="K9" s="27">
        <f>Hypothèses!K24*Hypothèses!$C$4*Hypothèses!K56/(1+Hypothèses!$B$67)</f>
        <v>144375</v>
      </c>
    </row>
    <row r="10" spans="1:11" ht="15" customHeight="1" x14ac:dyDescent="0.2">
      <c r="A10" s="7" t="s">
        <v>106</v>
      </c>
      <c r="B10" s="27">
        <f>Hypothèses!B25*Hypothèses!B57/(1+Hypothèses!$B$68)</f>
        <v>16528.92561983471</v>
      </c>
      <c r="C10" s="27">
        <f>Hypothèses!C25*Hypothèses!C57/(1+Hypothèses!$B$68)</f>
        <v>25289.25619834711</v>
      </c>
      <c r="D10" s="27">
        <f>Hypothèses!D25*Hypothèses!D57/(1+Hypothèses!$B$68)</f>
        <v>32851.239669421491</v>
      </c>
      <c r="E10" s="27">
        <f>Hypothèses!E25*Hypothèses!E57/(1+Hypothèses!$B$68)</f>
        <v>33471.074380165293</v>
      </c>
      <c r="F10" s="27">
        <f>Hypothèses!F25*Hypothèses!F57/(1+Hypothèses!$B$68)</f>
        <v>34090.909090909096</v>
      </c>
      <c r="G10" s="27">
        <f>Hypothèses!G25*Hypothèses!G57/(1+Hypothèses!$B$68)</f>
        <v>34710.74380165289</v>
      </c>
      <c r="H10" s="27">
        <f>Hypothèses!H25*Hypothèses!H57/(1+Hypothèses!$B$68)</f>
        <v>35330.578512396693</v>
      </c>
      <c r="I10" s="27">
        <f>Hypothèses!I25*Hypothèses!I57/(1+Hypothèses!$B$68)</f>
        <v>35950.413223140495</v>
      </c>
      <c r="J10" s="27">
        <f>Hypothèses!J25*Hypothèses!J57/(1+Hypothèses!$B$68)</f>
        <v>36570.247933884297</v>
      </c>
      <c r="K10" s="27">
        <f>Hypothèses!K25*Hypothèses!K57/(1+Hypothèses!$B$68)</f>
        <v>37190.082644628099</v>
      </c>
    </row>
    <row r="11" spans="1:11" ht="15" customHeight="1" x14ac:dyDescent="0.2">
      <c r="A11" s="7" t="s">
        <v>107</v>
      </c>
      <c r="B11" s="27">
        <f>Hypothèses!B26*Hypothèses!B58/(1+Hypothèses!$B$69)</f>
        <v>8035.7142857142853</v>
      </c>
      <c r="C11" s="27">
        <f>Hypothèses!C26*Hypothèses!C58/(1+Hypothèses!$B$69)</f>
        <v>10178.571428571428</v>
      </c>
      <c r="D11" s="27">
        <f>Hypothèses!D26*Hypothèses!D58/(1+Hypothèses!$B$69)</f>
        <v>10178.571428571428</v>
      </c>
      <c r="E11" s="27">
        <f>Hypothèses!E26*Hypothèses!E58/(1+Hypothèses!$B$69)</f>
        <v>12499.999999999998</v>
      </c>
      <c r="F11" s="27">
        <f>Hypothèses!F26*Hypothèses!F58/(1+Hypothèses!$B$69)</f>
        <v>12499.999999999998</v>
      </c>
      <c r="G11" s="27">
        <f>Hypothèses!G26*Hypothèses!G58/(1+Hypothèses!$B$69)</f>
        <v>12499.999999999998</v>
      </c>
      <c r="H11" s="27">
        <f>Hypothèses!H26*Hypothèses!H58/(1+Hypothèses!$B$69)</f>
        <v>14062.499999999998</v>
      </c>
      <c r="I11" s="27">
        <f>Hypothèses!I26*Hypothèses!I58/(1+Hypothèses!$B$69)</f>
        <v>14062.499999999998</v>
      </c>
      <c r="J11" s="27">
        <f>Hypothèses!J26*Hypothèses!J58/(1+Hypothèses!$B$69)</f>
        <v>14732.142857142855</v>
      </c>
      <c r="K11" s="27">
        <f>Hypothèses!K26*Hypothèses!K58/(1+Hypothèses!$B$69)</f>
        <v>14732.142857142855</v>
      </c>
    </row>
    <row r="12" spans="1:11" ht="15" customHeight="1" x14ac:dyDescent="0.2">
      <c r="A12" s="7" t="s">
        <v>108</v>
      </c>
      <c r="B12" s="27">
        <f>Hypothèses!B27*Hypothèses!B59/(1+Hypothèses!$B$70)</f>
        <v>52066.115702479343</v>
      </c>
      <c r="C12" s="27">
        <f>Hypothèses!C27*Hypothèses!C59/(1+Hypothèses!$B$70)</f>
        <v>59504.132231404961</v>
      </c>
      <c r="D12" s="27">
        <f>Hypothèses!D27*Hypothèses!D59/(1+Hypothèses!$B$70)</f>
        <v>67272.727272727279</v>
      </c>
      <c r="E12" s="27">
        <f>Hypothèses!E27*Hypothèses!E59/(1+Hypothèses!$B$70)</f>
        <v>75371.90082644629</v>
      </c>
      <c r="F12" s="27">
        <f>Hypothèses!F27*Hypothèses!F59/(1+Hypothèses!$B$70)</f>
        <v>78512.396694214884</v>
      </c>
      <c r="G12" s="27">
        <f>Hypothèses!G27*Hypothèses!G59/(1+Hypothèses!$B$70)</f>
        <v>87024.793388429753</v>
      </c>
      <c r="H12" s="27">
        <f>Hypothèses!H27*Hypothèses!H59/(1+Hypothèses!$B$70)</f>
        <v>99173.553719008269</v>
      </c>
      <c r="I12" s="27">
        <f>Hypothèses!I27*Hypothèses!I59/(1+Hypothèses!$B$70)</f>
        <v>101652.89256198348</v>
      </c>
      <c r="J12" s="27">
        <f>Hypothèses!J27*Hypothèses!J59/(1+Hypothèses!$B$70)</f>
        <v>104132.23140495869</v>
      </c>
      <c r="K12" s="27">
        <f>Hypothèses!K27*Hypothèses!K59/(1+Hypothèses!$B$70)</f>
        <v>104132.23140495869</v>
      </c>
    </row>
    <row r="13" spans="1:11" ht="15" customHeight="1" x14ac:dyDescent="0.2">
      <c r="A13" s="7" t="s">
        <v>83</v>
      </c>
      <c r="B13" s="27">
        <f>Hypothèses!B28*Hypothèses!B60/(1+Hypothèses!$B$71)</f>
        <v>33482.142857142855</v>
      </c>
      <c r="C13" s="27">
        <f>Hypothèses!C28*Hypothèses!C60/(1+Hypothèses!$B$71)</f>
        <v>37366.071428571428</v>
      </c>
      <c r="D13" s="27">
        <f>Hypothèses!D28*Hypothèses!D60/(1+Hypothèses!$B$71)</f>
        <v>42857.142857142855</v>
      </c>
      <c r="E13" s="27">
        <f>Hypothèses!E28*Hypothèses!E60/(1+Hypothèses!$B$71)</f>
        <v>42857.142857142855</v>
      </c>
      <c r="F13" s="27">
        <f>Hypothèses!F28*Hypothèses!F60/(1+Hypothèses!$B$71)</f>
        <v>44196.428571428565</v>
      </c>
      <c r="G13" s="27">
        <f>Hypothèses!G28*Hypothèses!G60/(1+Hypothèses!$B$71)</f>
        <v>45535.714285714283</v>
      </c>
      <c r="H13" s="27">
        <f>Hypothèses!H28*Hypothèses!H60/(1+Hypothèses!$B$71)</f>
        <v>45535.714285714283</v>
      </c>
      <c r="I13" s="27">
        <f>Hypothèses!I28*Hypothèses!I60/(1+Hypothèses!$B$71)</f>
        <v>46874.999999999993</v>
      </c>
      <c r="J13" s="27">
        <f>Hypothèses!J28*Hypothèses!J60/(1+Hypothèses!$B$71)</f>
        <v>48214.28571428571</v>
      </c>
      <c r="K13" s="27">
        <f>Hypothèses!K28*Hypothèses!K60/(1+Hypothèses!$B$71)</f>
        <v>48214.28571428571</v>
      </c>
    </row>
    <row r="14" spans="1:11" ht="15" customHeight="1" x14ac:dyDescent="0.2">
      <c r="A14" s="28" t="s">
        <v>109</v>
      </c>
      <c r="B14" s="29">
        <f t="shared" ref="B14:K14" si="0">SUM(B7:B13)</f>
        <v>891057.40850059025</v>
      </c>
      <c r="C14" s="29">
        <f t="shared" si="0"/>
        <v>978036.82113341219</v>
      </c>
      <c r="D14" s="29">
        <f t="shared" si="0"/>
        <v>1043906.0655253836</v>
      </c>
      <c r="E14" s="29">
        <f t="shared" si="0"/>
        <v>1095708.3825265644</v>
      </c>
      <c r="F14" s="29">
        <f t="shared" si="0"/>
        <v>1143934.4746162926</v>
      </c>
      <c r="G14" s="29">
        <f t="shared" si="0"/>
        <v>1183018.00472255</v>
      </c>
      <c r="H14" s="29">
        <f t="shared" si="0"/>
        <v>1231991.9569067296</v>
      </c>
      <c r="I14" s="29">
        <f t="shared" si="0"/>
        <v>1238305.4161747342</v>
      </c>
      <c r="J14" s="29">
        <f t="shared" si="0"/>
        <v>1272114.817001181</v>
      </c>
      <c r="K14" s="29">
        <f t="shared" si="0"/>
        <v>1301038.2231404961</v>
      </c>
    </row>
    <row r="16" spans="1:11" ht="15" customHeight="1" x14ac:dyDescent="0.2">
      <c r="A16" s="5" t="s">
        <v>110</v>
      </c>
      <c r="B16" s="6"/>
      <c r="C16" s="6"/>
      <c r="D16" s="6"/>
      <c r="E16" s="6"/>
      <c r="F16" s="6"/>
      <c r="G16" s="6"/>
      <c r="H16" s="6"/>
      <c r="I16" s="6"/>
      <c r="J16" s="6"/>
      <c r="K16" s="6"/>
    </row>
    <row r="17" spans="1:2" ht="15" customHeight="1" x14ac:dyDescent="0.2">
      <c r="A17" s="7" t="s">
        <v>103</v>
      </c>
      <c r="B17" s="12">
        <f t="shared" ref="B17:B23" si="1">B7/B$14</f>
        <v>0.61564094898725608</v>
      </c>
    </row>
    <row r="18" spans="1:2" ht="15" customHeight="1" x14ac:dyDescent="0.2">
      <c r="A18" s="7" t="s">
        <v>111</v>
      </c>
      <c r="B18" s="12">
        <f t="shared" si="1"/>
        <v>0.14214437200273938</v>
      </c>
    </row>
    <row r="19" spans="1:2" ht="15" customHeight="1" x14ac:dyDescent="0.2">
      <c r="A19" s="7" t="s">
        <v>79</v>
      </c>
      <c r="B19" s="12">
        <f t="shared" si="1"/>
        <v>0.11863914121108582</v>
      </c>
    </row>
    <row r="20" spans="1:2" ht="15" customHeight="1" x14ac:dyDescent="0.2">
      <c r="A20" s="7" t="s">
        <v>112</v>
      </c>
      <c r="B20" s="12">
        <f t="shared" si="1"/>
        <v>1.8549787546964503E-2</v>
      </c>
    </row>
    <row r="21" spans="1:2" ht="15" customHeight="1" x14ac:dyDescent="0.2">
      <c r="A21" s="7" t="s">
        <v>113</v>
      </c>
      <c r="B21" s="12">
        <f t="shared" si="1"/>
        <v>9.0181779636805109E-3</v>
      </c>
    </row>
    <row r="22" spans="1:2" ht="15" customHeight="1" x14ac:dyDescent="0.2">
      <c r="A22" s="7" t="s">
        <v>108</v>
      </c>
      <c r="B22" s="12">
        <f t="shared" si="1"/>
        <v>5.843183077293819E-2</v>
      </c>
    </row>
    <row r="23" spans="1:2" ht="15" customHeight="1" x14ac:dyDescent="0.2">
      <c r="A23" s="7" t="s">
        <v>83</v>
      </c>
      <c r="B23" s="12">
        <f t="shared" si="1"/>
        <v>3.7575741515335458E-2</v>
      </c>
    </row>
    <row r="24" spans="1:2" ht="15" customHeight="1" x14ac:dyDescent="0.2">
      <c r="A24" s="28" t="s">
        <v>114</v>
      </c>
      <c r="B24" s="30">
        <f>SUM(B17:B23)</f>
        <v>1</v>
      </c>
    </row>
    <row r="25" spans="1:2" ht="15" customHeight="1" x14ac:dyDescent="0.2">
      <c r="A25" s="7"/>
      <c r="B25" s="31"/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C67B4E"/>
  </sheetPr>
  <dimension ref="A1:K28"/>
  <sheetViews>
    <sheetView tabSelected="1" zoomScale="130" zoomScaleNormal="130" zoomScalePageLayoutView="60" workbookViewId="0">
      <selection activeCell="E13" sqref="E13"/>
    </sheetView>
  </sheetViews>
  <sheetFormatPr baseColWidth="10" defaultColWidth="8.6640625" defaultRowHeight="15" x14ac:dyDescent="0.2"/>
  <cols>
    <col min="1" max="1" width="50" customWidth="1"/>
    <col min="2" max="11" width="13" customWidth="1"/>
  </cols>
  <sheetData>
    <row r="1" spans="1:11" ht="15" customHeight="1" x14ac:dyDescent="0.2">
      <c r="A1" s="3" t="s">
        <v>115</v>
      </c>
    </row>
    <row r="2" spans="1:11" ht="15" customHeight="1" x14ac:dyDescent="0.2">
      <c r="A2" s="4" t="s">
        <v>116</v>
      </c>
    </row>
    <row r="3" spans="1:11" ht="15" customHeight="1" x14ac:dyDescent="0.2">
      <c r="A3" s="20" t="s">
        <v>50</v>
      </c>
      <c r="B3" s="20" t="s">
        <v>91</v>
      </c>
      <c r="C3" s="20" t="s">
        <v>92</v>
      </c>
      <c r="D3" s="20" t="s">
        <v>93</v>
      </c>
      <c r="E3" s="20" t="s">
        <v>94</v>
      </c>
      <c r="F3" s="20" t="s">
        <v>95</v>
      </c>
      <c r="G3" s="20" t="s">
        <v>96</v>
      </c>
      <c r="H3" s="20" t="s">
        <v>97</v>
      </c>
      <c r="I3" s="20" t="s">
        <v>98</v>
      </c>
      <c r="J3" s="20" t="s">
        <v>99</v>
      </c>
      <c r="K3" s="20" t="s">
        <v>100</v>
      </c>
    </row>
    <row r="4" spans="1:11" ht="15" customHeight="1" x14ac:dyDescent="0.2">
      <c r="A4" s="7" t="s">
        <v>117</v>
      </c>
      <c r="B4" s="8">
        <f>Revenus!B14</f>
        <v>891057.40850059025</v>
      </c>
      <c r="C4" s="8">
        <f>Revenus!C14</f>
        <v>978036.82113341219</v>
      </c>
      <c r="D4" s="8">
        <f>Revenus!D14</f>
        <v>1043906.0655253836</v>
      </c>
      <c r="E4" s="8">
        <f>Revenus!E14</f>
        <v>1095708.3825265644</v>
      </c>
      <c r="F4" s="8">
        <f>Revenus!F14</f>
        <v>1143934.4746162926</v>
      </c>
      <c r="G4" s="8">
        <f>Revenus!G14</f>
        <v>1183018.00472255</v>
      </c>
      <c r="H4" s="8">
        <f>Revenus!H14</f>
        <v>1231991.9569067296</v>
      </c>
      <c r="I4" s="8">
        <f>Revenus!I14</f>
        <v>1238305.4161747342</v>
      </c>
      <c r="J4" s="8">
        <f>Revenus!J14</f>
        <v>1272114.817001181</v>
      </c>
      <c r="K4" s="8">
        <f>Revenus!K14</f>
        <v>1301038.2231404961</v>
      </c>
    </row>
    <row r="5" spans="1:11" ht="15" customHeight="1" x14ac:dyDescent="0.2">
      <c r="A5" s="7" t="s">
        <v>118</v>
      </c>
      <c r="B5" s="8">
        <f>-(Revenus!B8*Hypothèses!$B$44+Revenus!B9*Hypothèses!$B$45)</f>
        <v>-35903.187721369541</v>
      </c>
      <c r="C5" s="8">
        <f>-(Revenus!C8*Hypothèses!$B$44+Revenus!C9*Hypothèses!$B$45)</f>
        <v>-39487.97225501771</v>
      </c>
      <c r="D5" s="8">
        <f>-(Revenus!D8*Hypothèses!$B$44+Revenus!D9*Hypothèses!$B$45)</f>
        <v>-40796.598288075555</v>
      </c>
      <c r="E5" s="8">
        <f>-(Revenus!E8*Hypothèses!$B$44+Revenus!E9*Hypothèses!$B$45)</f>
        <v>-43015.938606847689</v>
      </c>
      <c r="F5" s="8">
        <f>-(Revenus!F8*Hypothèses!$B$44+Revenus!F9*Hypothèses!$B$45)</f>
        <v>-43944.805194805187</v>
      </c>
      <c r="G5" s="8">
        <f>-(Revenus!G8*Hypothèses!$B$44+Revenus!G9*Hypothèses!$B$45)</f>
        <v>-46542.207792207788</v>
      </c>
      <c r="H5" s="8">
        <f>-(Revenus!H8*Hypothèses!$B$44+Revenus!H9*Hypothèses!$B$45)</f>
        <v>-47551.13636363636</v>
      </c>
      <c r="I5" s="8">
        <f>-(Revenus!I8*Hypothèses!$B$44+Revenus!I9*Hypothèses!$B$45)</f>
        <v>-47738.63636363636</v>
      </c>
      <c r="J5" s="8">
        <f>-(Revenus!J8*Hypothèses!$B$44+Revenus!J9*Hypothèses!$B$45)</f>
        <v>-50344.967532467526</v>
      </c>
      <c r="K5" s="8">
        <f>-(Revenus!K8*Hypothèses!$B$44+Revenus!K9*Hypothèses!$B$45)</f>
        <v>-50719.967532467526</v>
      </c>
    </row>
    <row r="6" spans="1:11" ht="15" customHeight="1" x14ac:dyDescent="0.2">
      <c r="A6" s="32" t="s">
        <v>119</v>
      </c>
      <c r="B6" s="33">
        <f t="shared" ref="B6:K6" si="0">B4+B5</f>
        <v>855154.22077922069</v>
      </c>
      <c r="C6" s="33">
        <f t="shared" si="0"/>
        <v>938548.84887839446</v>
      </c>
      <c r="D6" s="33">
        <f t="shared" si="0"/>
        <v>1003109.467237308</v>
      </c>
      <c r="E6" s="33">
        <f t="shared" si="0"/>
        <v>1052692.4439197166</v>
      </c>
      <c r="F6" s="33">
        <f t="shared" si="0"/>
        <v>1099989.6694214875</v>
      </c>
      <c r="G6" s="33">
        <f t="shared" si="0"/>
        <v>1136475.7969303422</v>
      </c>
      <c r="H6" s="33">
        <f t="shared" si="0"/>
        <v>1184440.8205430931</v>
      </c>
      <c r="I6" s="33">
        <f t="shared" si="0"/>
        <v>1190566.7798110978</v>
      </c>
      <c r="J6" s="33">
        <f t="shared" si="0"/>
        <v>1221769.8494687134</v>
      </c>
      <c r="K6" s="33">
        <f t="shared" si="0"/>
        <v>1250318.2556080285</v>
      </c>
    </row>
    <row r="7" spans="1:11" ht="15" customHeight="1" x14ac:dyDescent="0.2">
      <c r="A7" s="7" t="s">
        <v>120</v>
      </c>
      <c r="B7" s="27">
        <f>-(Hypothèses!$B$32*((1-Hypothèses!$B$46)+Hypothèses!$B$46*Hypothèses!$C$4)*(1+Hypothèses!$B$47)^0)*1000</f>
        <v>-290000</v>
      </c>
      <c r="C7" s="27">
        <f>-(Hypothèses!$B$32*((1-Hypothèses!$B$46)+Hypothèses!$B$46*Hypothèses!$C$4)*(1+Hypothèses!$B$47)^1)*1000</f>
        <v>-297250</v>
      </c>
      <c r="D7" s="27">
        <f>-(Hypothèses!$B$32*((1-Hypothèses!$B$46)+Hypothèses!$B$46*Hypothèses!$C$4)*(1+Hypothèses!$B$47)^2)*1000</f>
        <v>-304681.25</v>
      </c>
      <c r="E7" s="27">
        <f>-(Hypothèses!$B$32*((1-Hypothèses!$B$46)+Hypothèses!$B$46*Hypothèses!$C$4)*(1+Hypothèses!$B$47)^3)*1000</f>
        <v>-312298.28124999994</v>
      </c>
      <c r="F7" s="27">
        <f>-(Hypothèses!$B$32*((1-Hypothèses!$B$46)+Hypothèses!$B$46*Hypothèses!$C$4)*(1+Hypothèses!$B$47)^4)*1000</f>
        <v>-320105.73828124994</v>
      </c>
      <c r="G7" s="27">
        <f>-(Hypothèses!$B$32*((1-Hypothèses!$B$46)+Hypothèses!$B$46*Hypothèses!$C$4)*(1+Hypothèses!$B$47)^5)*1000</f>
        <v>-328108.38173828111</v>
      </c>
      <c r="H7" s="27">
        <f>-(Hypothèses!$B$32*((1-Hypothèses!$B$46)+Hypothèses!$B$46*Hypothèses!$C$4)*(1+Hypothèses!$B$47)^6)*1000</f>
        <v>-336311.09128173813</v>
      </c>
      <c r="I7" s="27">
        <f>-(Hypothèses!$B$32*((1-Hypothèses!$B$46)+Hypothèses!$B$46*Hypothèses!$C$4)*(1+Hypothèses!$B$47)^7)*1000</f>
        <v>-344718.86856378161</v>
      </c>
      <c r="J7" s="27">
        <f>-(Hypothèses!$B$32*((1-Hypothèses!$B$46)+Hypothèses!$B$46*Hypothèses!$C$4)*(1+Hypothèses!$B$47)^8)*1000</f>
        <v>-353336.84027787612</v>
      </c>
      <c r="K7" s="27">
        <f>-(Hypothèses!$B$32*((1-Hypothèses!$B$46)+Hypothèses!$B$46*Hypothèses!$C$4)*(1+Hypothèses!$B$47)^9)*1000</f>
        <v>-362170.26128482295</v>
      </c>
    </row>
    <row r="8" spans="1:11" ht="15" customHeight="1" x14ac:dyDescent="0.2">
      <c r="A8" s="7" t="s">
        <v>52</v>
      </c>
      <c r="B8" s="27">
        <f>-Hypothèses!$B$33*(1+Hypothèses!$B$47)^0*1000</f>
        <v>-84000</v>
      </c>
      <c r="C8" s="27">
        <f>-Hypothèses!$B$33*(1+Hypothèses!$B$47)^1*1000</f>
        <v>-86100</v>
      </c>
      <c r="D8" s="27">
        <f>-Hypothèses!$B$33*(1+Hypothèses!$B$47)^2*1000</f>
        <v>-88252.5</v>
      </c>
      <c r="E8" s="27">
        <f>-Hypothèses!$B$33*(1+Hypothèses!$B$47)^3*1000</f>
        <v>-90458.8125</v>
      </c>
      <c r="F8" s="27">
        <f>-Hypothèses!$B$33*(1+Hypothèses!$B$47)^4*1000</f>
        <v>-92720.28281249998</v>
      </c>
      <c r="G8" s="27">
        <f>-Hypothèses!$B$33*(1+Hypothèses!$B$47)^5*1000</f>
        <v>-95038.289882812474</v>
      </c>
      <c r="H8" s="27">
        <f>-Hypothèses!$B$33*(1+Hypothèses!$B$47)^6*1000</f>
        <v>-97414.247129882788</v>
      </c>
      <c r="I8" s="27">
        <f>-Hypothèses!$B$33*(1+Hypothèses!$B$47)^7*1000</f>
        <v>-99849.603308129837</v>
      </c>
      <c r="J8" s="27">
        <f>-Hypothèses!$B$33*(1+Hypothèses!$B$47)^8*1000</f>
        <v>-102345.84339083308</v>
      </c>
      <c r="K8" s="27">
        <f>-Hypothèses!$B$33*(1+Hypothèses!$B$47)^9*1000</f>
        <v>-104904.4894756039</v>
      </c>
    </row>
    <row r="9" spans="1:11" ht="15" customHeight="1" x14ac:dyDescent="0.2">
      <c r="A9" s="7" t="s">
        <v>121</v>
      </c>
      <c r="B9" s="27">
        <f>-Hypothèses!$B$34*(1+Hypothèses!$B$47)^0*1000</f>
        <v>-110000</v>
      </c>
      <c r="C9" s="27">
        <f>-Hypothèses!$B$34*(1+Hypothèses!$B$47)^1*1000</f>
        <v>-112749.99999999999</v>
      </c>
      <c r="D9" s="27">
        <f>-Hypothèses!$B$34*(1+Hypothèses!$B$47)^2*1000</f>
        <v>-115568.75</v>
      </c>
      <c r="E9" s="27">
        <f>-Hypothèses!$B$34*(1+Hypothèses!$B$47)^3*1000</f>
        <v>-118457.96874999999</v>
      </c>
      <c r="F9" s="27">
        <f>-Hypothèses!$B$34*(1+Hypothèses!$B$47)^4*1000</f>
        <v>-121419.41796874997</v>
      </c>
      <c r="G9" s="27">
        <f>-Hypothèses!$B$34*(1+Hypothèses!$B$47)^5*1000</f>
        <v>-124454.90341796872</v>
      </c>
      <c r="H9" s="27">
        <f>-Hypothèses!$B$34*(1+Hypothèses!$B$47)^6*1000</f>
        <v>-127566.27600341792</v>
      </c>
      <c r="I9" s="27">
        <f>-Hypothèses!$B$34*(1+Hypothèses!$B$47)^7*1000</f>
        <v>-130755.43290350336</v>
      </c>
      <c r="J9" s="27">
        <f>-Hypothèses!$B$34*(1+Hypothèses!$B$47)^8*1000</f>
        <v>-134024.31872609095</v>
      </c>
      <c r="K9" s="27">
        <f>-Hypothèses!$B$34*(1+Hypothèses!$B$47)^9*1000</f>
        <v>-137374.92669424319</v>
      </c>
    </row>
    <row r="10" spans="1:11" ht="15" customHeight="1" x14ac:dyDescent="0.2">
      <c r="A10" s="7" t="s">
        <v>53</v>
      </c>
      <c r="B10" s="27">
        <f>-Hypothèses!$B$35*(1+Hypothèses!$B$47)^0*1000</f>
        <v>-42000</v>
      </c>
      <c r="C10" s="27">
        <f>-Hypothèses!$B$35*(1+Hypothèses!$B$47)^1*1000</f>
        <v>-43050</v>
      </c>
      <c r="D10" s="27">
        <f>-Hypothèses!$B$35*(1+Hypothèses!$B$47)^2*1000</f>
        <v>-44126.25</v>
      </c>
      <c r="E10" s="27">
        <f>-Hypothèses!$B$35*(1+Hypothèses!$B$47)^3*1000</f>
        <v>-45229.40625</v>
      </c>
      <c r="F10" s="27">
        <f>-Hypothèses!$B$35*(1+Hypothèses!$B$47)^4*1000</f>
        <v>-46360.14140624999</v>
      </c>
      <c r="G10" s="27">
        <f>-Hypothèses!$B$35*(1+Hypothèses!$B$47)^5*1000</f>
        <v>-47519.144941406237</v>
      </c>
      <c r="H10" s="27">
        <f>-Hypothèses!$B$35*(1+Hypothèses!$B$47)^6*1000</f>
        <v>-48707.123564941394</v>
      </c>
      <c r="I10" s="27">
        <f>-Hypothèses!$B$35*(1+Hypothèses!$B$47)^7*1000</f>
        <v>-49924.801654064919</v>
      </c>
      <c r="J10" s="27">
        <f>-Hypothèses!$B$35*(1+Hypothèses!$B$47)^8*1000</f>
        <v>-51172.921695416539</v>
      </c>
      <c r="K10" s="27">
        <f>-Hypothèses!$B$35*(1+Hypothèses!$B$47)^9*1000</f>
        <v>-52452.24473780195</v>
      </c>
    </row>
    <row r="11" spans="1:11" ht="15" customHeight="1" x14ac:dyDescent="0.2">
      <c r="A11" s="7" t="s">
        <v>122</v>
      </c>
      <c r="B11" s="27">
        <f>-Hypothèses!$B$36*(1+Hypothèses!$B$47)^0*1000</f>
        <v>-50000</v>
      </c>
      <c r="C11" s="27">
        <f>-Hypothèses!$B$36*(1+Hypothèses!$B$47)^1*1000</f>
        <v>-51249.999999999993</v>
      </c>
      <c r="D11" s="27">
        <f>-Hypothèses!$B$36*(1+Hypothèses!$B$47)^2*1000</f>
        <v>-52531.249999999993</v>
      </c>
      <c r="E11" s="27">
        <f>-Hypothèses!$B$36*(1+Hypothèses!$B$47)^3*1000</f>
        <v>-53844.531249999993</v>
      </c>
      <c r="F11" s="27">
        <f>-Hypothèses!$B$36*(1+Hypothèses!$B$47)^4*1000</f>
        <v>-55190.644531249985</v>
      </c>
      <c r="G11" s="27">
        <f>-Hypothèses!$B$36*(1+Hypothèses!$B$47)^5*1000</f>
        <v>-56570.410644531235</v>
      </c>
      <c r="H11" s="27">
        <f>-Hypothèses!$B$36*(1+Hypothèses!$B$47)^6*1000</f>
        <v>-57984.670910644512</v>
      </c>
      <c r="I11" s="27">
        <f>-Hypothèses!$B$36*(1+Hypothèses!$B$47)^7*1000</f>
        <v>-59434.287683410621</v>
      </c>
      <c r="J11" s="27">
        <f>-Hypothèses!$B$36*(1+Hypothèses!$B$47)^8*1000</f>
        <v>-60920.144875495884</v>
      </c>
      <c r="K11" s="27">
        <f>-Hypothèses!$B$36*(1+Hypothèses!$B$47)^9*1000</f>
        <v>-62443.14849738327</v>
      </c>
    </row>
    <row r="12" spans="1:11" ht="15" customHeight="1" x14ac:dyDescent="0.2">
      <c r="A12" s="7" t="s">
        <v>123</v>
      </c>
      <c r="B12" s="27">
        <f>-Hypothèses!$B$37*(1+Hypothèses!$B$47)^0*1000</f>
        <v>-30000</v>
      </c>
      <c r="C12" s="27">
        <f>-Hypothèses!$B$37*(1+Hypothèses!$B$47)^1*1000</f>
        <v>-30749.999999999996</v>
      </c>
      <c r="D12" s="27">
        <f>-Hypothèses!$B$37*(1+Hypothèses!$B$47)^2*1000</f>
        <v>-31518.749999999996</v>
      </c>
      <c r="E12" s="27">
        <f>-Hypothèses!$B$37*(1+Hypothèses!$B$47)^3*1000</f>
        <v>-32306.718749999996</v>
      </c>
      <c r="F12" s="27">
        <f>-Hypothèses!$B$37*(1+Hypothèses!$B$47)^4*1000</f>
        <v>-33114.386718749993</v>
      </c>
      <c r="G12" s="27">
        <f>-Hypothèses!$B$37*(1+Hypothèses!$B$47)^5*1000</f>
        <v>-33942.246386718733</v>
      </c>
      <c r="H12" s="27">
        <f>-Hypothèses!$B$37*(1+Hypothèses!$B$47)^6*1000</f>
        <v>-34790.802546386709</v>
      </c>
      <c r="I12" s="27">
        <f>-Hypothèses!$B$37*(1+Hypothèses!$B$47)^7*1000</f>
        <v>-35660.572610046373</v>
      </c>
      <c r="J12" s="27">
        <f>-Hypothèses!$B$37*(1+Hypothèses!$B$47)^8*1000</f>
        <v>-36552.086925297532</v>
      </c>
      <c r="K12" s="27">
        <f>-Hypothèses!$B$37*(1+Hypothèses!$B$47)^9*1000</f>
        <v>-37465.889098429965</v>
      </c>
    </row>
    <row r="13" spans="1:11" ht="15" customHeight="1" x14ac:dyDescent="0.2">
      <c r="A13" s="7" t="s">
        <v>124</v>
      </c>
      <c r="B13" s="27">
        <f>-Hypothèses!$B$38*(1+Hypothèses!$B$47)^0*1000</f>
        <v>-18000</v>
      </c>
      <c r="C13" s="27">
        <f>-Hypothèses!$B$38*(1+Hypothèses!$B$47)^1*1000</f>
        <v>-18450</v>
      </c>
      <c r="D13" s="27">
        <f>-Hypothèses!$B$38*(1+Hypothèses!$B$47)^2*1000</f>
        <v>-18911.25</v>
      </c>
      <c r="E13" s="27">
        <f>-Hypothèses!$B$38*(1+Hypothèses!$B$47)^3*1000</f>
        <v>-19384.03125</v>
      </c>
      <c r="F13" s="27">
        <f>-Hypothèses!$B$38*(1+Hypothèses!$B$47)^4*1000</f>
        <v>-19868.632031249996</v>
      </c>
      <c r="G13" s="27">
        <f>-Hypothèses!$B$38*(1+Hypothèses!$B$47)^5*1000</f>
        <v>-20365.347832031242</v>
      </c>
      <c r="H13" s="27">
        <f>-Hypothèses!$B$38*(1+Hypothèses!$B$47)^6*1000</f>
        <v>-20874.481527832024</v>
      </c>
      <c r="I13" s="27">
        <f>-Hypothèses!$B$38*(1+Hypothèses!$B$47)^7*1000</f>
        <v>-21396.343566027823</v>
      </c>
      <c r="J13" s="27">
        <f>-Hypothèses!$B$38*(1+Hypothèses!$B$47)^8*1000</f>
        <v>-21931.252155178521</v>
      </c>
      <c r="K13" s="27">
        <f>-Hypothèses!$B$38*(1+Hypothèses!$B$47)^9*1000</f>
        <v>-22479.533459057981</v>
      </c>
    </row>
    <row r="14" spans="1:11" ht="15" customHeight="1" x14ac:dyDescent="0.2">
      <c r="A14" s="7" t="s">
        <v>125</v>
      </c>
      <c r="B14" s="27">
        <f>-Hypothèses!$B$39*(1+Hypothèses!$B$47)^0*1000</f>
        <v>-16000</v>
      </c>
      <c r="C14" s="27">
        <f>-Hypothèses!$B$39*(1+Hypothèses!$B$47)^1*1000</f>
        <v>-16400</v>
      </c>
      <c r="D14" s="27">
        <f>-Hypothèses!$B$39*(1+Hypothèses!$B$47)^2*1000</f>
        <v>-16810</v>
      </c>
      <c r="E14" s="27">
        <f>-Hypothèses!$B$39*(1+Hypothèses!$B$47)^3*1000</f>
        <v>-17230.249999999996</v>
      </c>
      <c r="F14" s="27">
        <f>-Hypothèses!$B$39*(1+Hypothèses!$B$47)^4*1000</f>
        <v>-17661.006249999995</v>
      </c>
      <c r="G14" s="27">
        <f>-Hypothèses!$B$39*(1+Hypothèses!$B$47)^5*1000</f>
        <v>-18102.531406249993</v>
      </c>
      <c r="H14" s="27">
        <f>-Hypothèses!$B$39*(1+Hypothèses!$B$47)^6*1000</f>
        <v>-18555.094691406244</v>
      </c>
      <c r="I14" s="27">
        <f>-Hypothèses!$B$39*(1+Hypothèses!$B$47)^7*1000</f>
        <v>-19018.972058691401</v>
      </c>
      <c r="J14" s="27">
        <f>-Hypothèses!$B$39*(1+Hypothèses!$B$47)^8*1000</f>
        <v>-19494.446360158683</v>
      </c>
      <c r="K14" s="27">
        <f>-Hypothèses!$B$39*(1+Hypothèses!$B$47)^9*1000</f>
        <v>-19981.807519162649</v>
      </c>
    </row>
    <row r="15" spans="1:11" ht="15" customHeight="1" x14ac:dyDescent="0.2">
      <c r="A15" s="7" t="s">
        <v>126</v>
      </c>
      <c r="B15" s="27">
        <f>-Hypothèses!$B$40*(1+Hypothèses!$B$47)^0*1000</f>
        <v>-20000</v>
      </c>
      <c r="C15" s="27">
        <f>-Hypothèses!$B$40*(1+Hypothèses!$B$47)^1*1000</f>
        <v>-20500</v>
      </c>
      <c r="D15" s="27">
        <f>-Hypothèses!$B$40*(1+Hypothèses!$B$47)^2*1000</f>
        <v>-21012.5</v>
      </c>
      <c r="E15" s="27">
        <f>-Hypothèses!$B$40*(1+Hypothèses!$B$47)^3*1000</f>
        <v>-21537.812499999996</v>
      </c>
      <c r="F15" s="27">
        <f>-Hypothèses!$B$40*(1+Hypothèses!$B$47)^4*1000</f>
        <v>-22076.257812499996</v>
      </c>
      <c r="G15" s="27">
        <f>-Hypothèses!$B$40*(1+Hypothèses!$B$47)^5*1000</f>
        <v>-22628.164257812492</v>
      </c>
      <c r="H15" s="27">
        <f>-Hypothèses!$B$40*(1+Hypothèses!$B$47)^6*1000</f>
        <v>-23193.868364257803</v>
      </c>
      <c r="I15" s="27">
        <f>-Hypothèses!$B$40*(1+Hypothèses!$B$47)^7*1000</f>
        <v>-23773.715073364252</v>
      </c>
      <c r="J15" s="27">
        <f>-Hypothèses!$B$40*(1+Hypothèses!$B$47)^8*1000</f>
        <v>-24368.057950198356</v>
      </c>
      <c r="K15" s="27">
        <f>-Hypothèses!$B$40*(1+Hypothèses!$B$47)^9*1000</f>
        <v>-24977.259398953309</v>
      </c>
    </row>
    <row r="16" spans="1:11" ht="15" customHeight="1" x14ac:dyDescent="0.2">
      <c r="A16" s="7" t="s">
        <v>127</v>
      </c>
      <c r="B16" s="27">
        <f>-Hypothèses!$B$41*(1+Hypothèses!$B$47)^0*1000</f>
        <v>-30000</v>
      </c>
      <c r="C16" s="27">
        <f>-Hypothèses!$B$41*(1+Hypothèses!$B$47)^1*1000</f>
        <v>-30749.999999999996</v>
      </c>
      <c r="D16" s="27">
        <f>-Hypothèses!$B$41*(1+Hypothèses!$B$47)^2*1000</f>
        <v>-31518.749999999996</v>
      </c>
      <c r="E16" s="27">
        <f>-Hypothèses!$B$41*(1+Hypothèses!$B$47)^3*1000</f>
        <v>-32306.718749999996</v>
      </c>
      <c r="F16" s="27">
        <f>-Hypothèses!$B$41*(1+Hypothèses!$B$47)^4*1000</f>
        <v>-33114.386718749993</v>
      </c>
      <c r="G16" s="27">
        <f>-Hypothèses!$B$41*(1+Hypothèses!$B$47)^5*1000</f>
        <v>-33942.246386718733</v>
      </c>
      <c r="H16" s="27">
        <f>-Hypothèses!$B$41*(1+Hypothèses!$B$47)^6*1000</f>
        <v>-34790.802546386709</v>
      </c>
      <c r="I16" s="27">
        <f>-Hypothèses!$B$41*(1+Hypothèses!$B$47)^7*1000</f>
        <v>-35660.572610046373</v>
      </c>
      <c r="J16" s="27">
        <f>-Hypothèses!$B$41*(1+Hypothèses!$B$47)^8*1000</f>
        <v>-36552.086925297532</v>
      </c>
      <c r="K16" s="27">
        <f>-Hypothèses!$B$41*(1+Hypothèses!$B$47)^9*1000</f>
        <v>-37465.889098429965</v>
      </c>
    </row>
    <row r="17" spans="1:11" ht="15" customHeight="1" x14ac:dyDescent="0.2">
      <c r="A17" s="32" t="s">
        <v>128</v>
      </c>
      <c r="B17" s="33">
        <f t="shared" ref="B17:K17" si="1">SUM(B7:B16)</f>
        <v>-690000</v>
      </c>
      <c r="C17" s="33">
        <f t="shared" si="1"/>
        <v>-707250</v>
      </c>
      <c r="D17" s="33">
        <f t="shared" si="1"/>
        <v>-724931.25</v>
      </c>
      <c r="E17" s="33">
        <f t="shared" si="1"/>
        <v>-743054.53125</v>
      </c>
      <c r="F17" s="33">
        <f t="shared" si="1"/>
        <v>-761630.89453124988</v>
      </c>
      <c r="G17" s="33">
        <f t="shared" si="1"/>
        <v>-780671.66689453088</v>
      </c>
      <c r="H17" s="33">
        <f t="shared" si="1"/>
        <v>-800188.45856689417</v>
      </c>
      <c r="I17" s="33">
        <f t="shared" si="1"/>
        <v>-820193.17003106652</v>
      </c>
      <c r="J17" s="33">
        <f t="shared" si="1"/>
        <v>-840697.99928184319</v>
      </c>
      <c r="K17" s="33">
        <f t="shared" si="1"/>
        <v>-861715.44926388911</v>
      </c>
    </row>
    <row r="18" spans="1:11" ht="15" customHeight="1" x14ac:dyDescent="0.2">
      <c r="A18" s="28" t="s">
        <v>15</v>
      </c>
      <c r="B18" s="29">
        <f t="shared" ref="B18:K18" si="2">B6+B17</f>
        <v>165154.22077922069</v>
      </c>
      <c r="C18" s="29">
        <f t="shared" si="2"/>
        <v>231298.84887839446</v>
      </c>
      <c r="D18" s="29">
        <f t="shared" si="2"/>
        <v>278178.21723730804</v>
      </c>
      <c r="E18" s="29">
        <f t="shared" si="2"/>
        <v>309637.91266971664</v>
      </c>
      <c r="F18" s="29">
        <f t="shared" si="2"/>
        <v>338358.7748902376</v>
      </c>
      <c r="G18" s="29">
        <f t="shared" si="2"/>
        <v>355804.13003581134</v>
      </c>
      <c r="H18" s="29">
        <f t="shared" si="2"/>
        <v>384252.36197619897</v>
      </c>
      <c r="I18" s="29">
        <f t="shared" si="2"/>
        <v>370373.60978003126</v>
      </c>
      <c r="J18" s="29">
        <f t="shared" si="2"/>
        <v>381071.8501868702</v>
      </c>
      <c r="K18" s="29">
        <f t="shared" si="2"/>
        <v>388602.80634413939</v>
      </c>
    </row>
    <row r="19" spans="1:11" ht="15" customHeight="1" x14ac:dyDescent="0.2">
      <c r="A19" s="7" t="s">
        <v>16</v>
      </c>
      <c r="B19" s="12">
        <f t="shared" ref="B19:K19" si="3">B18/B4</f>
        <v>0.18534633033031034</v>
      </c>
      <c r="C19" s="12">
        <f t="shared" si="3"/>
        <v>0.23649298664476703</v>
      </c>
      <c r="D19" s="12">
        <f t="shared" si="3"/>
        <v>0.26647820759361596</v>
      </c>
      <c r="E19" s="12">
        <f t="shared" si="3"/>
        <v>0.28259153403182963</v>
      </c>
      <c r="F19" s="12">
        <f t="shared" si="3"/>
        <v>0.29578510168052458</v>
      </c>
      <c r="G19" s="12">
        <f t="shared" si="3"/>
        <v>0.30075969141252173</v>
      </c>
      <c r="H19" s="12">
        <f t="shared" si="3"/>
        <v>0.31189518715769471</v>
      </c>
      <c r="I19" s="12">
        <f t="shared" si="3"/>
        <v>0.29909714109476909</v>
      </c>
      <c r="J19" s="12">
        <f t="shared" si="3"/>
        <v>0.29955774832116938</v>
      </c>
      <c r="K19" s="12">
        <f t="shared" si="3"/>
        <v>0.29868669454315877</v>
      </c>
    </row>
    <row r="20" spans="1:11" ht="15" customHeight="1" x14ac:dyDescent="0.2">
      <c r="A20" s="7" t="s">
        <v>129</v>
      </c>
      <c r="B20" s="8">
        <f>-'CAPEX &amp; Financement'!$B$15/8</f>
        <v>-135000</v>
      </c>
      <c r="C20" s="8">
        <f>-'CAPEX &amp; Financement'!$B$15/8</f>
        <v>-135000</v>
      </c>
      <c r="D20" s="8">
        <f>-'CAPEX &amp; Financement'!$B$15/8</f>
        <v>-135000</v>
      </c>
      <c r="E20" s="8">
        <f>-'CAPEX &amp; Financement'!$B$15/8</f>
        <v>-135000</v>
      </c>
      <c r="F20" s="8">
        <f>-'CAPEX &amp; Financement'!$B$15/8</f>
        <v>-135000</v>
      </c>
      <c r="G20" s="8">
        <f>-'CAPEX &amp; Financement'!$B$15/8</f>
        <v>-135000</v>
      </c>
      <c r="H20" s="8">
        <f>-'CAPEX &amp; Financement'!$B$15/8</f>
        <v>-135000</v>
      </c>
      <c r="I20" s="8">
        <f>-'CAPEX &amp; Financement'!$B$15/8</f>
        <v>-135000</v>
      </c>
      <c r="J20" s="27">
        <f>0</f>
        <v>0</v>
      </c>
      <c r="K20" s="27">
        <f>0</f>
        <v>0</v>
      </c>
    </row>
    <row r="21" spans="1:11" ht="15" customHeight="1" x14ac:dyDescent="0.2">
      <c r="A21" s="32" t="s">
        <v>130</v>
      </c>
      <c r="B21" s="33">
        <f t="shared" ref="B21:K21" si="4">B18+B20</f>
        <v>30154.22077922069</v>
      </c>
      <c r="C21" s="33">
        <f t="shared" si="4"/>
        <v>96298.848878394463</v>
      </c>
      <c r="D21" s="33">
        <f t="shared" si="4"/>
        <v>143178.21723730804</v>
      </c>
      <c r="E21" s="33">
        <f t="shared" si="4"/>
        <v>174637.91266971664</v>
      </c>
      <c r="F21" s="33">
        <f t="shared" si="4"/>
        <v>203358.7748902376</v>
      </c>
      <c r="G21" s="33">
        <f t="shared" si="4"/>
        <v>220804.13003581134</v>
      </c>
      <c r="H21" s="33">
        <f t="shared" si="4"/>
        <v>249252.36197619897</v>
      </c>
      <c r="I21" s="33">
        <f t="shared" si="4"/>
        <v>235373.60978003126</v>
      </c>
      <c r="J21" s="33">
        <f t="shared" si="4"/>
        <v>381071.8501868702</v>
      </c>
      <c r="K21" s="33">
        <f t="shared" si="4"/>
        <v>388602.80634413939</v>
      </c>
    </row>
    <row r="22" spans="1:11" ht="15" customHeight="1" x14ac:dyDescent="0.2">
      <c r="A22" s="7" t="s">
        <v>131</v>
      </c>
      <c r="B22" s="27">
        <f>-MAX('CAPEX &amp; Financement'!$B$19-('CAPEX &amp; Financement'!$B$19/Hypothèses!$C$50)*(COLUMN()-2),0)*Hypothèses!$B$50</f>
        <v>-24000</v>
      </c>
      <c r="C22" s="27">
        <f>-MAX('CAPEX &amp; Financement'!$B$19-('CAPEX &amp; Financement'!$B$19/Hypothèses!$C$50)*(COLUMN()-2),0)*Hypothèses!$B$50</f>
        <v>-21000</v>
      </c>
      <c r="D22" s="27">
        <f>-MAX('CAPEX &amp; Financement'!$B$19-('CAPEX &amp; Financement'!$B$19/Hypothèses!$C$50)*(COLUMN()-2),0)*Hypothèses!$B$50</f>
        <v>-18000</v>
      </c>
      <c r="E22" s="27">
        <f>-MAX('CAPEX &amp; Financement'!$B$19-('CAPEX &amp; Financement'!$B$19/Hypothèses!$C$50)*(COLUMN()-2),0)*Hypothèses!$B$50</f>
        <v>-15000</v>
      </c>
      <c r="F22" s="27">
        <f>-MAX('CAPEX &amp; Financement'!$B$19-('CAPEX &amp; Financement'!$B$19/Hypothèses!$C$50)*(COLUMN()-2),0)*Hypothèses!$B$50</f>
        <v>-12000</v>
      </c>
      <c r="G22" s="27">
        <f>-MAX('CAPEX &amp; Financement'!$B$19-('CAPEX &amp; Financement'!$B$19/Hypothèses!$C$50)*(COLUMN()-2),0)*Hypothèses!$B$50</f>
        <v>-9000</v>
      </c>
      <c r="H22" s="27">
        <f>-MAX('CAPEX &amp; Financement'!$B$19-('CAPEX &amp; Financement'!$B$19/Hypothèses!$C$50)*(COLUMN()-2),0)*Hypothèses!$B$50</f>
        <v>-6000</v>
      </c>
      <c r="I22" s="27">
        <f>-MAX('CAPEX &amp; Financement'!$B$19-('CAPEX &amp; Financement'!$B$19/Hypothèses!$C$50)*(COLUMN()-2),0)*Hypothèses!$B$50</f>
        <v>-3000</v>
      </c>
      <c r="J22" s="27">
        <f>-MAX('CAPEX &amp; Financement'!$B$19-('CAPEX &amp; Financement'!$B$19/Hypothèses!$C$50)*(COLUMN()-2),0)*Hypothèses!$B$50</f>
        <v>0</v>
      </c>
      <c r="K22" s="27">
        <f>-MAX('CAPEX &amp; Financement'!$B$19-('CAPEX &amp; Financement'!$B$19/Hypothèses!$C$50)*(COLUMN()-2),0)*Hypothèses!$B$50</f>
        <v>0</v>
      </c>
    </row>
    <row r="23" spans="1:11" ht="15" customHeight="1" x14ac:dyDescent="0.2">
      <c r="A23" s="28" t="s">
        <v>132</v>
      </c>
      <c r="B23" s="29">
        <f t="shared" ref="B23:K23" si="5">B21+B22</f>
        <v>6154.22077922069</v>
      </c>
      <c r="C23" s="29">
        <f t="shared" si="5"/>
        <v>75298.848878394463</v>
      </c>
      <c r="D23" s="29">
        <f t="shared" si="5"/>
        <v>125178.21723730804</v>
      </c>
      <c r="E23" s="29">
        <f t="shared" si="5"/>
        <v>159637.91266971664</v>
      </c>
      <c r="F23" s="29">
        <f t="shared" si="5"/>
        <v>191358.7748902376</v>
      </c>
      <c r="G23" s="29">
        <f t="shared" si="5"/>
        <v>211804.13003581134</v>
      </c>
      <c r="H23" s="29">
        <f t="shared" si="5"/>
        <v>243252.36197619897</v>
      </c>
      <c r="I23" s="29">
        <f t="shared" si="5"/>
        <v>232373.60978003126</v>
      </c>
      <c r="J23" s="29">
        <f t="shared" si="5"/>
        <v>381071.8501868702</v>
      </c>
      <c r="K23" s="29">
        <f t="shared" si="5"/>
        <v>388602.80634413939</v>
      </c>
    </row>
    <row r="24" spans="1:11" ht="15" customHeight="1" x14ac:dyDescent="0.2">
      <c r="A24" s="7" t="s">
        <v>133</v>
      </c>
      <c r="B24" s="27">
        <f t="shared" ref="B24:K24" si="6">-MAX(B23,0)*0.25</f>
        <v>-1538.5551948051725</v>
      </c>
      <c r="C24" s="27">
        <f t="shared" si="6"/>
        <v>-18824.712219598616</v>
      </c>
      <c r="D24" s="27">
        <f t="shared" si="6"/>
        <v>-31294.55430932701</v>
      </c>
      <c r="E24" s="27">
        <f t="shared" si="6"/>
        <v>-39909.478167429159</v>
      </c>
      <c r="F24" s="27">
        <f t="shared" si="6"/>
        <v>-47839.693722559401</v>
      </c>
      <c r="G24" s="27">
        <f t="shared" si="6"/>
        <v>-52951.032508952834</v>
      </c>
      <c r="H24" s="27">
        <f t="shared" si="6"/>
        <v>-60813.090494049742</v>
      </c>
      <c r="I24" s="27">
        <f t="shared" si="6"/>
        <v>-58093.402445007814</v>
      </c>
      <c r="J24" s="27">
        <f t="shared" si="6"/>
        <v>-95267.96254671755</v>
      </c>
      <c r="K24" s="27">
        <f t="shared" si="6"/>
        <v>-97150.701586034847</v>
      </c>
    </row>
    <row r="25" spans="1:11" ht="15" customHeight="1" x14ac:dyDescent="0.2">
      <c r="A25" s="28" t="s">
        <v>134</v>
      </c>
      <c r="B25" s="29">
        <f t="shared" ref="B25:K25" si="7">B23+B24</f>
        <v>4615.6655844155175</v>
      </c>
      <c r="C25" s="29">
        <f t="shared" si="7"/>
        <v>56474.136658795847</v>
      </c>
      <c r="D25" s="29">
        <f t="shared" si="7"/>
        <v>93883.662927981029</v>
      </c>
      <c r="E25" s="29">
        <f t="shared" si="7"/>
        <v>119728.43450228748</v>
      </c>
      <c r="F25" s="29">
        <f t="shared" si="7"/>
        <v>143519.0811676782</v>
      </c>
      <c r="G25" s="29">
        <f t="shared" si="7"/>
        <v>158853.0975268585</v>
      </c>
      <c r="H25" s="29">
        <f t="shared" si="7"/>
        <v>182439.27148214923</v>
      </c>
      <c r="I25" s="29">
        <f t="shared" si="7"/>
        <v>174280.20733502344</v>
      </c>
      <c r="J25" s="29">
        <f t="shared" si="7"/>
        <v>285803.88764015265</v>
      </c>
      <c r="K25" s="29">
        <f t="shared" si="7"/>
        <v>291452.10475810454</v>
      </c>
    </row>
    <row r="26" spans="1:11" ht="15" customHeight="1" x14ac:dyDescent="0.2">
      <c r="A26" s="7" t="s">
        <v>135</v>
      </c>
      <c r="B26" s="27">
        <f t="shared" ref="B26:K26" si="8">B18+B24</f>
        <v>163615.66558441552</v>
      </c>
      <c r="C26" s="27">
        <f t="shared" si="8"/>
        <v>212474.13665879585</v>
      </c>
      <c r="D26" s="27">
        <f t="shared" si="8"/>
        <v>246883.66292798103</v>
      </c>
      <c r="E26" s="27">
        <f t="shared" si="8"/>
        <v>269728.43450228748</v>
      </c>
      <c r="F26" s="27">
        <f t="shared" si="8"/>
        <v>290519.08116767823</v>
      </c>
      <c r="G26" s="27">
        <f t="shared" si="8"/>
        <v>302853.0975268585</v>
      </c>
      <c r="H26" s="27">
        <f t="shared" si="8"/>
        <v>323439.27148214926</v>
      </c>
      <c r="I26" s="27">
        <f t="shared" si="8"/>
        <v>312280.20733502344</v>
      </c>
      <c r="J26" s="27">
        <f t="shared" si="8"/>
        <v>285803.88764015265</v>
      </c>
      <c r="K26" s="27">
        <f t="shared" si="8"/>
        <v>291452.10475810454</v>
      </c>
    </row>
    <row r="27" spans="1:11" ht="15" customHeight="1" x14ac:dyDescent="0.2">
      <c r="A27" s="7" t="s">
        <v>136</v>
      </c>
      <c r="B27" s="27">
        <f>-MIN('CAPEX &amp; Financement'!$B$19/Hypothèses!$C$50,MAX('CAPEX &amp; Financement'!$B$19-('CAPEX &amp; Financement'!$B$19/Hypothèses!$C$50)*(COLUMN()-2),0))</f>
        <v>-75000</v>
      </c>
      <c r="C27" s="27">
        <f>-MIN('CAPEX &amp; Financement'!$B$19/Hypothèses!$C$50,MAX('CAPEX &amp; Financement'!$B$19-('CAPEX &amp; Financement'!$B$19/Hypothèses!$C$50)*(COLUMN()-2),0))</f>
        <v>-75000</v>
      </c>
      <c r="D27" s="27">
        <f>-MIN('CAPEX &amp; Financement'!$B$19/Hypothèses!$C$50,MAX('CAPEX &amp; Financement'!$B$19-('CAPEX &amp; Financement'!$B$19/Hypothèses!$C$50)*(COLUMN()-2),0))</f>
        <v>-75000</v>
      </c>
      <c r="E27" s="27">
        <f>-MIN('CAPEX &amp; Financement'!$B$19/Hypothèses!$C$50,MAX('CAPEX &amp; Financement'!$B$19-('CAPEX &amp; Financement'!$B$19/Hypothèses!$C$50)*(COLUMN()-2),0))</f>
        <v>-75000</v>
      </c>
      <c r="F27" s="27">
        <f>-MIN('CAPEX &amp; Financement'!$B$19/Hypothèses!$C$50,MAX('CAPEX &amp; Financement'!$B$19-('CAPEX &amp; Financement'!$B$19/Hypothèses!$C$50)*(COLUMN()-2),0))</f>
        <v>-75000</v>
      </c>
      <c r="G27" s="27">
        <f>-MIN('CAPEX &amp; Financement'!$B$19/Hypothèses!$C$50,MAX('CAPEX &amp; Financement'!$B$19-('CAPEX &amp; Financement'!$B$19/Hypothèses!$C$50)*(COLUMN()-2),0))</f>
        <v>-75000</v>
      </c>
      <c r="H27" s="27">
        <f>-MIN('CAPEX &amp; Financement'!$B$19/Hypothèses!$C$50,MAX('CAPEX &amp; Financement'!$B$19-('CAPEX &amp; Financement'!$B$19/Hypothèses!$C$50)*(COLUMN()-2),0))</f>
        <v>-75000</v>
      </c>
      <c r="I27" s="27">
        <f>-MIN('CAPEX &amp; Financement'!$B$19/Hypothèses!$C$50,MAX('CAPEX &amp; Financement'!$B$19-('CAPEX &amp; Financement'!$B$19/Hypothèses!$C$50)*(COLUMN()-2),0))</f>
        <v>-75000</v>
      </c>
      <c r="J27" s="27">
        <f>-MIN('CAPEX &amp; Financement'!$B$19/Hypothèses!$C$50,MAX('CAPEX &amp; Financement'!$B$19-('CAPEX &amp; Financement'!$B$19/Hypothèses!$C$50)*(COLUMN()-2),0))</f>
        <v>0</v>
      </c>
      <c r="K27" s="27">
        <f>-MIN('CAPEX &amp; Financement'!$B$19/Hypothèses!$C$50,MAX('CAPEX &amp; Financement'!$B$19-('CAPEX &amp; Financement'!$B$19/Hypothèses!$C$50)*(COLUMN()-2),0))</f>
        <v>0</v>
      </c>
    </row>
    <row r="28" spans="1:11" ht="15" customHeight="1" x14ac:dyDescent="0.2">
      <c r="A28" s="28" t="s">
        <v>137</v>
      </c>
      <c r="B28" s="29">
        <f t="shared" ref="B28:K28" si="9">B26+B22+B27</f>
        <v>64615.665584415518</v>
      </c>
      <c r="C28" s="29">
        <f t="shared" si="9"/>
        <v>116474.13665879585</v>
      </c>
      <c r="D28" s="29">
        <f t="shared" si="9"/>
        <v>153883.66292798103</v>
      </c>
      <c r="E28" s="29">
        <f t="shared" si="9"/>
        <v>179728.43450228748</v>
      </c>
      <c r="F28" s="29">
        <f t="shared" si="9"/>
        <v>203519.08116767823</v>
      </c>
      <c r="G28" s="29">
        <f t="shared" si="9"/>
        <v>218853.0975268585</v>
      </c>
      <c r="H28" s="29">
        <f t="shared" si="9"/>
        <v>242439.27148214926</v>
      </c>
      <c r="I28" s="29">
        <f t="shared" si="9"/>
        <v>234280.20733502344</v>
      </c>
      <c r="J28" s="29">
        <f t="shared" si="9"/>
        <v>285803.88764015265</v>
      </c>
      <c r="K28" s="29">
        <f t="shared" si="9"/>
        <v>291452.10475810454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2F5D50"/>
  </sheetPr>
  <dimension ref="A1:B24"/>
  <sheetViews>
    <sheetView zoomScale="150" zoomScaleNormal="150" zoomScalePageLayoutView="60" workbookViewId="0">
      <selection activeCell="B11" sqref="B11"/>
    </sheetView>
  </sheetViews>
  <sheetFormatPr baseColWidth="10" defaultColWidth="8.6640625" defaultRowHeight="15" x14ac:dyDescent="0.2"/>
  <cols>
    <col min="1" max="1" width="64" customWidth="1"/>
    <col min="2" max="2" width="16" customWidth="1"/>
  </cols>
  <sheetData>
    <row r="1" spans="1:2" ht="15" customHeight="1" x14ac:dyDescent="0.2">
      <c r="A1" s="3" t="s">
        <v>138</v>
      </c>
    </row>
    <row r="3" spans="1:2" ht="15" customHeight="1" x14ac:dyDescent="0.2">
      <c r="A3" s="20" t="s">
        <v>139</v>
      </c>
      <c r="B3" s="20" t="s">
        <v>140</v>
      </c>
    </row>
    <row r="4" spans="1:2" ht="15" customHeight="1" x14ac:dyDescent="0.2">
      <c r="A4" s="7" t="s">
        <v>168</v>
      </c>
      <c r="B4" s="34">
        <v>640000</v>
      </c>
    </row>
    <row r="5" spans="1:2" ht="15" customHeight="1" x14ac:dyDescent="0.2">
      <c r="A5" s="7" t="s">
        <v>141</v>
      </c>
      <c r="B5" s="34">
        <v>50000</v>
      </c>
    </row>
    <row r="6" spans="1:2" ht="15" customHeight="1" x14ac:dyDescent="0.2">
      <c r="A6" s="7" t="s">
        <v>142</v>
      </c>
      <c r="B6" s="34">
        <v>50000</v>
      </c>
    </row>
    <row r="7" spans="1:2" ht="15" customHeight="1" x14ac:dyDescent="0.2">
      <c r="A7" s="7" t="s">
        <v>143</v>
      </c>
      <c r="B7" s="34">
        <v>35000</v>
      </c>
    </row>
    <row r="8" spans="1:2" ht="15" customHeight="1" x14ac:dyDescent="0.2">
      <c r="A8" s="7" t="s">
        <v>144</v>
      </c>
      <c r="B8" s="34">
        <v>65000</v>
      </c>
    </row>
    <row r="9" spans="1:2" ht="15" customHeight="1" x14ac:dyDescent="0.2">
      <c r="A9" s="7" t="s">
        <v>145</v>
      </c>
      <c r="B9" s="34">
        <v>25000</v>
      </c>
    </row>
    <row r="10" spans="1:2" ht="15" customHeight="1" x14ac:dyDescent="0.2">
      <c r="A10" s="7" t="s">
        <v>146</v>
      </c>
      <c r="B10" s="34">
        <v>60000</v>
      </c>
    </row>
    <row r="11" spans="1:2" ht="15" customHeight="1" x14ac:dyDescent="0.2">
      <c r="A11" s="7" t="s">
        <v>147</v>
      </c>
      <c r="B11" s="34">
        <v>60000</v>
      </c>
    </row>
    <row r="12" spans="1:2" ht="15" customHeight="1" x14ac:dyDescent="0.2">
      <c r="A12" s="7" t="s">
        <v>148</v>
      </c>
      <c r="B12" s="34">
        <v>95000</v>
      </c>
    </row>
    <row r="13" spans="1:2" ht="15" customHeight="1" x14ac:dyDescent="0.2">
      <c r="A13" s="7" t="s">
        <v>149</v>
      </c>
      <c r="B13" s="34">
        <v>120000</v>
      </c>
    </row>
    <row r="14" spans="1:2" ht="15" customHeight="1" x14ac:dyDescent="0.2">
      <c r="A14" s="28" t="s">
        <v>150</v>
      </c>
      <c r="B14" s="29">
        <f>SUM(B4:B13)</f>
        <v>1200000</v>
      </c>
    </row>
    <row r="15" spans="1:2" ht="15" customHeight="1" x14ac:dyDescent="0.2">
      <c r="A15" s="7"/>
      <c r="B15" s="35">
        <f>B14-B13</f>
        <v>1080000</v>
      </c>
    </row>
    <row r="16" spans="1:2" ht="15" customHeight="1" x14ac:dyDescent="0.2">
      <c r="A16" s="20" t="s">
        <v>151</v>
      </c>
    </row>
    <row r="17" spans="1:2" ht="15" customHeight="1" x14ac:dyDescent="0.2">
      <c r="A17" s="7" t="s">
        <v>152</v>
      </c>
      <c r="B17" s="34">
        <v>80000</v>
      </c>
    </row>
    <row r="18" spans="1:2" ht="15" customHeight="1" x14ac:dyDescent="0.2">
      <c r="A18" s="7" t="s">
        <v>153</v>
      </c>
      <c r="B18" s="34">
        <v>520000</v>
      </c>
    </row>
    <row r="19" spans="1:2" ht="15" customHeight="1" x14ac:dyDescent="0.2">
      <c r="A19" s="7" t="s">
        <v>154</v>
      </c>
      <c r="B19" s="34">
        <v>600000</v>
      </c>
    </row>
    <row r="20" spans="1:2" ht="15" customHeight="1" x14ac:dyDescent="0.2">
      <c r="A20" s="28" t="s">
        <v>155</v>
      </c>
      <c r="B20" s="29">
        <f>SUM(B17:B19)</f>
        <v>1200000</v>
      </c>
    </row>
    <row r="22" spans="1:2" ht="15" customHeight="1" x14ac:dyDescent="0.2">
      <c r="A22" s="7"/>
      <c r="B22" s="31"/>
    </row>
    <row r="23" spans="1:2" ht="15" customHeight="1" x14ac:dyDescent="0.2">
      <c r="A23" s="4"/>
    </row>
    <row r="24" spans="1:2" ht="15" customHeight="1" x14ac:dyDescent="0.2">
      <c r="A24" s="4"/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C67B4E"/>
  </sheetPr>
  <dimension ref="A1:K16"/>
  <sheetViews>
    <sheetView zoomScale="163" zoomScaleNormal="163" zoomScalePageLayoutView="60" workbookViewId="0"/>
  </sheetViews>
  <sheetFormatPr baseColWidth="10" defaultColWidth="8.6640625" defaultRowHeight="15" x14ac:dyDescent="0.2"/>
  <cols>
    <col min="1" max="1" width="46" customWidth="1"/>
    <col min="2" max="11" width="13" customWidth="1"/>
  </cols>
  <sheetData>
    <row r="1" spans="1:11" ht="15" customHeight="1" x14ac:dyDescent="0.2">
      <c r="A1" s="3" t="s">
        <v>156</v>
      </c>
    </row>
    <row r="4" spans="1:11" ht="15" customHeight="1" x14ac:dyDescent="0.2">
      <c r="A4" s="20" t="s">
        <v>157</v>
      </c>
      <c r="B4" s="20" t="s">
        <v>158</v>
      </c>
      <c r="C4" s="20" t="s">
        <v>159</v>
      </c>
      <c r="D4" s="20" t="s">
        <v>3</v>
      </c>
      <c r="E4" s="20" t="s">
        <v>160</v>
      </c>
      <c r="F4" s="20" t="s">
        <v>161</v>
      </c>
    </row>
    <row r="5" spans="1:11" ht="15" customHeight="1" x14ac:dyDescent="0.2">
      <c r="A5" s="25" t="s">
        <v>162</v>
      </c>
      <c r="B5" s="36">
        <f>Hypothèses!$B$8*0.75</f>
        <v>36000</v>
      </c>
      <c r="C5" s="27">
        <f>(Hypothèses!B$8*0.75)*(Hypothèses!B61/(1+Hypothèses!$B$65))+(Hypothèses!B$8*0.75)*Hypothèses!$B$15*(Hypothèses!B55/(1+Hypothèses!$B$66))+Hypothèses!B24*0.75*(Hypothèses!B56/(1+Hypothèses!$B$67))+Hypothèses!B25*(Hypothèses!B57/(1+Hypothèses!$B$68))+Hypothèses!B26*(Hypothèses!B58/(1+Hypothèses!$B$69))+Hypothèses!B27*(Hypothèses!B59/(1+Hypothèses!$B$70))+Hypothèses!B28*(Hypothèses!B60/(1+Hypothèses!$B$71))</f>
        <v>695821.28099173552</v>
      </c>
      <c r="D5" s="27">
        <f>(Hypothèses!B$8*0.75)*(Hypothèses!B61/(1+Hypothèses!$B$65))+(Hypothèses!B$8*0.75)*Hypothèses!$B$15*(Hypothèses!B55/(1+Hypothèses!$B$66))+Hypothèses!B24*0.75*(Hypothèses!B56/(1+Hypothèses!$B$67))+Hypothèses!B25*(Hypothèses!B57/(1+Hypothèses!$B$68))+Hypothèses!B26*(Hypothèses!B58/(1+Hypothèses!$B$69))+Hypothèses!B27*(Hypothèses!B59/(1+Hypothèses!$B$70))+Hypothèses!B28*(Hypothèses!B60/(1+Hypothèses!$B$71))-((Hypothèses!B$8*0.75)*Hypothèses!$B$15*(Hypothèses!B55/(1+Hypothèses!$B$66))*Hypothèses!$B$44+Hypothèses!B24*0.75*(Hypothèses!B56/(1+Hypothèses!$B$67))*Hypothèses!$B$45)-((Hypothèses!$B$32*((1-Hypothèses!$B$46)+Hypothèses!$B$46*0.75)+SUM(Hypothèses!$B$33:$B$41))*(1+Hypothèses!$B$47)^0*1000)</f>
        <v>4268.8902007084107</v>
      </c>
      <c r="E5" s="12">
        <f>D5/C5</f>
        <v>6.135038288314602E-3</v>
      </c>
      <c r="F5" s="37" t="str">
        <f>IF(B11&gt;='CAPEX &amp; Financement'!$B$14,"Année 1",IF(SUM(B11:C11)&gt;='CAPEX &amp; Financement'!$B$14,"Année 2",IF(SUM(B11:D11)&gt;='CAPEX &amp; Financement'!$B$14,"Année 3",IF(SUM(B11:E11)&gt;='CAPEX &amp; Financement'!$B$14,"Année 4",IF(SUM(B11:F11)&gt;='CAPEX &amp; Financement'!$B$14,"Année 5",IF(SUM(B11:G11)&gt;='CAPEX &amp; Financement'!$B$14,"Année 6",IF(SUM(B11:H11)&gt;='CAPEX &amp; Financement'!$B$14,"Année 7",IF(SUM(B11:I11)&gt;='CAPEX &amp; Financement'!$B$14,"Année 8",IF(SUM(B11:J11)&gt;='CAPEX &amp; Financement'!$B$14,"Année 9",IF(SUM(B11:K11)&gt;='CAPEX &amp; Financement'!$B$14,"Année 10","&gt; 10 ans"))))))))))</f>
        <v>&gt; 10 ans</v>
      </c>
    </row>
    <row r="6" spans="1:11" ht="15" customHeight="1" x14ac:dyDescent="0.2">
      <c r="A6" s="25" t="s">
        <v>163</v>
      </c>
      <c r="B6" s="38">
        <f>Hypothèses!$B$8*1</f>
        <v>48000</v>
      </c>
      <c r="C6" s="39">
        <f>(Hypothèses!B$8*1)*(Hypothèses!B61/(1+Hypothèses!$B$65))+(Hypothèses!B$8*1)*Hypothèses!$B$15*(Hypothèses!B55/(1+Hypothèses!$B$66))+Hypothèses!B24*1*(Hypothèses!B56/(1+Hypothèses!$B$67))+Hypothèses!B25*(Hypothèses!B57/(1+Hypothèses!$B$68))+Hypothèses!B26*(Hypothèses!B58/(1+Hypothèses!$B$69))+Hypothèses!B27*(Hypothèses!B59/(1+Hypothèses!$B$70))+Hypothèses!B28*(Hypothèses!B60/(1+Hypothèses!$B$71))</f>
        <v>891057.40850059036</v>
      </c>
      <c r="D6" s="39">
        <f>(Hypothèses!B$8*1)*(Hypothèses!B61/(1+Hypothèses!$B$65))+(Hypothèses!B$8*1)*Hypothèses!$B$15*(Hypothèses!B55/(1+Hypothèses!$B$66))+Hypothèses!B24*1*(Hypothèses!B56/(1+Hypothèses!$B$67))+Hypothèses!B25*(Hypothèses!B57/(1+Hypothèses!$B$68))+Hypothèses!B26*(Hypothèses!B58/(1+Hypothèses!$B$69))+Hypothèses!B27*(Hypothèses!B59/(1+Hypothèses!$B$70))+Hypothèses!B28*(Hypothèses!B60/(1+Hypothèses!$B$71))-((Hypothèses!B$8*1)*Hypothèses!$B$15*(Hypothèses!B55/(1+Hypothèses!$B$66))*Hypothèses!$B$44+Hypothèses!B24*1*(Hypothèses!B56/(1+Hypothèses!$B$67))*Hypothèses!$B$45)-((Hypothèses!$B$32*((1-Hypothèses!$B$46)+Hypothèses!$B$46*1)+SUM(Hypothèses!$B$33:$B$41))*(1+Hypothèses!$B$47)^0*1000)</f>
        <v>165154.22077922081</v>
      </c>
      <c r="E6" s="40">
        <f>D6/C6</f>
        <v>0.18534633033031045</v>
      </c>
      <c r="F6" s="41" t="str">
        <f>IF(B12&gt;='CAPEX &amp; Financement'!$B$14,"Année 1",IF(SUM(B12:C12)&gt;='CAPEX &amp; Financement'!$B$14,"Année 2",IF(SUM(B12:D12)&gt;='CAPEX &amp; Financement'!$B$14,"Année 3",IF(SUM(B12:E12)&gt;='CAPEX &amp; Financement'!$B$14,"Année 4",IF(SUM(B12:F12)&gt;='CAPEX &amp; Financement'!$B$14,"Année 5",IF(SUM(B12:G12)&gt;='CAPEX &amp; Financement'!$B$14,"Année 6",IF(SUM(B12:H12)&gt;='CAPEX &amp; Financement'!$B$14,"Année 7",IF(SUM(B12:I12)&gt;='CAPEX &amp; Financement'!$B$14,"Année 8",IF(SUM(B12:J12)&gt;='CAPEX &amp; Financement'!$B$14,"Année 9",IF(SUM(B12:K12)&gt;='CAPEX &amp; Financement'!$B$14,"Année 10","&gt; 10 ans"))))))))))</f>
        <v>Année 5</v>
      </c>
    </row>
    <row r="7" spans="1:11" ht="15" customHeight="1" x14ac:dyDescent="0.2">
      <c r="A7" s="25" t="s">
        <v>164</v>
      </c>
      <c r="B7" s="36">
        <f>Hypothèses!$B$8*1.2</f>
        <v>57600</v>
      </c>
      <c r="C7" s="27">
        <f>(Hypothèses!B$8*1.2)*(Hypothèses!B61/(1+Hypothèses!$B$65))+(Hypothèses!B$8*1.2)*Hypothèses!$B$15*(Hypothèses!B55/(1+Hypothèses!$B$66))+Hypothèses!B24*1.2*(Hypothèses!B56/(1+Hypothèses!$B$67))+Hypothèses!B25*(Hypothèses!B57/(1+Hypothèses!$B$68))+Hypothèses!B26*(Hypothèses!B58/(1+Hypothèses!$B$69))+Hypothèses!B27*(Hypothèses!B59/(1+Hypothèses!$B$70))+Hypothèses!B28*(Hypothèses!B60/(1+Hypothèses!$B$71))</f>
        <v>1047246.3105076741</v>
      </c>
      <c r="D7" s="27">
        <f>(Hypothèses!B$8*1.2)*(Hypothèses!B61/(1+Hypothèses!$B$65))+(Hypothèses!B$8*1.2)*Hypothèses!$B$15*(Hypothèses!B55/(1+Hypothèses!$B$66))+Hypothèses!B24*1.2*(Hypothèses!B56/(1+Hypothèses!$B$67))+Hypothèses!B25*(Hypothèses!B57/(1+Hypothèses!$B$68))+Hypothèses!B26*(Hypothèses!B58/(1+Hypothèses!$B$69))+Hypothèses!B27*(Hypothèses!B59/(1+Hypothèses!$B$70))+Hypothèses!B28*(Hypothèses!B60/(1+Hypothèses!$B$71))-((Hypothèses!B$8*1.2)*Hypothèses!$B$15*(Hypothèses!B55/(1+Hypothèses!$B$66))*Hypothèses!$B$44+Hypothèses!B24*1.2*(Hypothèses!B56/(1+Hypothèses!$B$67))*Hypothèses!$B$45)-((Hypothèses!$B$32*((1-Hypothèses!$B$46)+Hypothèses!$B$46*1.2)+SUM(Hypothèses!$B$33:$B$41))*(1+Hypothèses!$B$47)^0*1000)</f>
        <v>293862.4852420307</v>
      </c>
      <c r="E7" s="12">
        <f>D7/C7</f>
        <v>0.28060493724687829</v>
      </c>
      <c r="F7" s="37" t="str">
        <f>IF(B13&gt;='CAPEX &amp; Financement'!$B$14,"Année 1",IF(SUM(B13:C13)&gt;='CAPEX &amp; Financement'!$B$14,"Année 2",IF(SUM(B13:D13)&gt;='CAPEX &amp; Financement'!$B$14,"Année 3",IF(SUM(B13:E13)&gt;='CAPEX &amp; Financement'!$B$14,"Année 4",IF(SUM(B13:F13)&gt;='CAPEX &amp; Financement'!$B$14,"Année 5",IF(SUM(B13:G13)&gt;='CAPEX &amp; Financement'!$B$14,"Année 6",IF(SUM(B13:H13)&gt;='CAPEX &amp; Financement'!$B$14,"Année 7",IF(SUM(B13:I13)&gt;='CAPEX &amp; Financement'!$B$14,"Année 8",IF(SUM(B13:J13)&gt;='CAPEX &amp; Financement'!$B$14,"Année 9",IF(SUM(B13:K13)&gt;='CAPEX &amp; Financement'!$B$14,"Année 10","&gt; 10 ans"))))))))))</f>
        <v>Année 4</v>
      </c>
    </row>
    <row r="10" spans="1:11" ht="15" customHeight="1" x14ac:dyDescent="0.2">
      <c r="A10" s="20" t="s">
        <v>15</v>
      </c>
      <c r="B10" s="13" t="s">
        <v>10</v>
      </c>
      <c r="C10" s="13" t="s">
        <v>23</v>
      </c>
      <c r="D10" s="13" t="s">
        <v>11</v>
      </c>
      <c r="E10" s="13" t="s">
        <v>24</v>
      </c>
      <c r="F10" s="13" t="s">
        <v>12</v>
      </c>
      <c r="G10" s="13" t="s">
        <v>25</v>
      </c>
      <c r="H10" s="13" t="s">
        <v>26</v>
      </c>
      <c r="I10" s="13" t="s">
        <v>27</v>
      </c>
      <c r="J10" s="13" t="s">
        <v>28</v>
      </c>
      <c r="K10" s="13" t="s">
        <v>13</v>
      </c>
    </row>
    <row r="11" spans="1:11" ht="15" customHeight="1" x14ac:dyDescent="0.2">
      <c r="A11" s="25" t="s">
        <v>162</v>
      </c>
      <c r="B11" s="27">
        <f>(Hypothèses!B$8*0.75)*(Hypothèses!B61/(1+Hypothèses!$B$65))+(Hypothèses!B$8*0.75)*Hypothèses!$B$15*(Hypothèses!B55/(1+Hypothèses!$B$66))+Hypothèses!B24*0.75*(Hypothèses!B56/(1+Hypothèses!$B$67))+Hypothèses!B25*(Hypothèses!B57/(1+Hypothèses!$B$68))+Hypothèses!B26*(Hypothèses!B58/(1+Hypothèses!$B$69))+Hypothèses!B27*(Hypothèses!B59/(1+Hypothèses!$B$70))+Hypothèses!B28*(Hypothèses!B60/(1+Hypothèses!$B$71))-((Hypothèses!B$8*0.75)*Hypothèses!$B$15*(Hypothèses!B55/(1+Hypothèses!$B$66))*Hypothèses!$B$44+Hypothèses!B24*0.75*(Hypothèses!B56/(1+Hypothèses!$B$67))*Hypothèses!$B$45)-((Hypothèses!$B$32*((1-Hypothèses!$B$46)+Hypothèses!$B$46*0.75)+SUM(Hypothèses!$B$33:$B$41))*(1+Hypothèses!$B$47)^0*1000)</f>
        <v>4268.8902007084107</v>
      </c>
      <c r="C11" s="27">
        <f>(Hypothèses!C$8*0.75)*(Hypothèses!C61/(1+Hypothèses!$B$65))+(Hypothèses!C$8*0.75)*Hypothèses!$B$15*(Hypothèses!C55/(1+Hypothèses!$B$66))+Hypothèses!C24*0.75*(Hypothèses!C56/(1+Hypothèses!$B$67))+Hypothèses!C25*(Hypothèses!C57/(1+Hypothèses!$B$68))+Hypothèses!C26*(Hypothèses!C58/(1+Hypothèses!$B$69))+Hypothèses!C27*(Hypothèses!C59/(1+Hypothèses!$B$70))+Hypothèses!C28*(Hypothèses!C60/(1+Hypothèses!$B$71))-((Hypothèses!C$8*0.75)*Hypothèses!$B$15*(Hypothèses!C55/(1+Hypothèses!$B$66))*Hypothèses!$B$44+Hypothèses!C24*0.75*(Hypothèses!C56/(1+Hypothèses!$B$67))*Hypothèses!$B$45)-((Hypothèses!$B$32*((1-Hypothèses!$B$46)+Hypothèses!$B$46*0.75)+SUM(Hypothèses!$B$33:$B$41))*(1+Hypothèses!$B$47)^1*1000)</f>
        <v>55755.519480519579</v>
      </c>
      <c r="D11" s="27">
        <f>(Hypothèses!D$8*0.75)*(Hypothèses!D61/(1+Hypothèses!$B$65))+(Hypothèses!D$8*0.75)*Hypothèses!$B$15*(Hypothèses!D55/(1+Hypothèses!$B$66))+Hypothèses!D24*0.75*(Hypothèses!D56/(1+Hypothèses!$B$67))+Hypothèses!D25*(Hypothèses!D57/(1+Hypothèses!$B$68))+Hypothèses!D26*(Hypothèses!D58/(1+Hypothèses!$B$69))+Hypothèses!D27*(Hypothèses!D59/(1+Hypothèses!$B$70))+Hypothèses!D28*(Hypothèses!D60/(1+Hypothèses!$B$71))-((Hypothèses!D$8*0.75)*Hypothèses!$B$15*(Hypothèses!D55/(1+Hypothèses!$B$66))*Hypothèses!$B$44+Hypothèses!D24*0.75*(Hypothèses!D56/(1+Hypothèses!$B$67))*Hypothèses!$B$45)-((Hypothèses!$B$32*((1-Hypothèses!$B$46)+Hypothèses!$B$46*0.75)+SUM(Hypothèses!$B$33:$B$41))*(1+Hypothèses!$B$47)^2*1000)</f>
        <v>92350.380109946942</v>
      </c>
      <c r="E11" s="27">
        <f>(Hypothèses!E$8*0.75)*(Hypothèses!E61/(1+Hypothèses!$B$65))+(Hypothèses!E$8*0.75)*Hypothèses!$B$15*(Hypothèses!E55/(1+Hypothèses!$B$66))+Hypothèses!E24*0.75*(Hypothèses!E56/(1+Hypothèses!$B$67))+Hypothèses!E25*(Hypothèses!E57/(1+Hypothèses!$B$68))+Hypothèses!E26*(Hypothèses!E58/(1+Hypothèses!$B$69))+Hypothèses!E27*(Hypothèses!E59/(1+Hypothèses!$B$70))+Hypothèses!E28*(Hypothèses!E60/(1+Hypothèses!$B$71))-((Hypothèses!E$8*0.75)*Hypothèses!$B$15*(Hypothèses!E55/(1+Hypothèses!$B$66))*Hypothèses!$B$44+Hypothèses!E24*0.75*(Hypothèses!E56/(1+Hypothèses!$B$67))*Hypothèses!$B$45)-((Hypothèses!$B$32*((1-Hypothèses!$B$46)+Hypothèses!$B$46*0.75)+SUM(Hypothèses!$B$33:$B$41))*(1+Hypothèses!$B$47)^3*1000)</f>
        <v>114840.93081510102</v>
      </c>
      <c r="F11" s="27">
        <f>(Hypothèses!F$8*0.75)*(Hypothèses!F61/(1+Hypothèses!$B$65))+(Hypothèses!F$8*0.75)*Hypothèses!$B$15*(Hypothèses!F55/(1+Hypothèses!$B$66))+Hypothèses!F24*0.75*(Hypothèses!F56/(1+Hypothèses!$B$67))+Hypothèses!F25*(Hypothèses!F57/(1+Hypothèses!$B$68))+Hypothèses!F26*(Hypothèses!F58/(1+Hypothèses!$B$69))+Hypothèses!F27*(Hypothèses!F59/(1+Hypothèses!$B$70))+Hypothèses!F28*(Hypothèses!F60/(1+Hypothèses!$B$71))-((Hypothèses!F$8*0.75)*Hypothèses!$B$15*(Hypothèses!F55/(1+Hypothèses!$B$66))*Hypothèses!$B$44+Hypothèses!F24*0.75*(Hypothèses!F56/(1+Hypothèses!$B$67))*Hypothèses!$B$45)-((Hypothèses!$B$32*((1-Hypothèses!$B$46)+Hypothèses!$B$46*0.75)+SUM(Hypothèses!$B$33:$B$41))*(1+Hypothèses!$B$47)^4*1000)</f>
        <v>133695.54322361329</v>
      </c>
      <c r="G11" s="27">
        <f>(Hypothèses!G$8*0.75)*(Hypothèses!G61/(1+Hypothèses!$B$65))+(Hypothèses!G$8*0.75)*Hypothèses!$B$15*(Hypothèses!G55/(1+Hypothèses!$B$66))+Hypothèses!G24*0.75*(Hypothèses!G56/(1+Hypothèses!$B$67))+Hypothèses!G25*(Hypothèses!G57/(1+Hypothèses!$B$68))+Hypothèses!G26*(Hypothèses!G58/(1+Hypothèses!$B$69))+Hypothèses!G27*(Hypothèses!G59/(1+Hypothèses!$B$70))+Hypothèses!G28*(Hypothèses!G60/(1+Hypothèses!$B$71))-((Hypothèses!G$8*0.75)*Hypothèses!$B$15*(Hypothèses!G55/(1+Hypothèses!$B$66))*Hypothèses!$B$44+Hypothèses!G24*0.75*(Hypothèses!G56/(1+Hypothèses!$B$67))*Hypothèses!$B$45)-((Hypothèses!$B$32*((1-Hypothèses!$B$46)+Hypothèses!$B$46*0.75)+SUM(Hypothèses!$B$33:$B$41))*(1+Hypothèses!$B$47)^5*1000)</f>
        <v>145337.47707427456</v>
      </c>
      <c r="H11" s="27">
        <f>(Hypothèses!H$8*0.75)*(Hypothèses!H61/(1+Hypothèses!$B$65))+(Hypothèses!H$8*0.75)*Hypothèses!$B$15*(Hypothèses!H55/(1+Hypothèses!$B$66))+Hypothèses!H24*0.75*(Hypothèses!H56/(1+Hypothèses!$B$67))+Hypothèses!H25*(Hypothèses!H57/(1+Hypothèses!$B$68))+Hypothèses!H26*(Hypothèses!H58/(1+Hypothèses!$B$69))+Hypothèses!H27*(Hypothèses!H59/(1+Hypothèses!$B$70))+Hypothèses!H28*(Hypothèses!H60/(1+Hypothèses!$B$71))-((Hypothèses!H$8*0.75)*Hypothèses!$B$15*(Hypothèses!H55/(1+Hypothèses!$B$66))*Hypothèses!$B$44+Hypothèses!H24*0.75*(Hypothèses!H56/(1+Hypothèses!$B$67))*Hypothèses!$B$45)-((Hypothèses!$B$32*((1-Hypothèses!$B$46)+Hypothèses!$B$46*0.75)+SUM(Hypothèses!$B$33:$B$41))*(1+Hypothèses!$B$47)^6*1000)</f>
        <v>166094.96395685745</v>
      </c>
      <c r="I11" s="27">
        <f>(Hypothèses!I$8*0.75)*(Hypothèses!I61/(1+Hypothèses!$B$65))+(Hypothèses!I$8*0.75)*Hypothèses!$B$15*(Hypothèses!I55/(1+Hypothèses!$B$66))+Hypothèses!I24*0.75*(Hypothèses!I56/(1+Hypothèses!$B$67))+Hypothèses!I25*(Hypothèses!I57/(1+Hypothèses!$B$68))+Hypothèses!I26*(Hypothèses!I58/(1+Hypothèses!$B$69))+Hypothèses!I27*(Hypothèses!I59/(1+Hypothèses!$B$70))+Hypothèses!I28*(Hypothèses!I60/(1+Hypothèses!$B$71))-((Hypothèses!I$8*0.75)*Hypothèses!$B$15*(Hypothèses!I55/(1+Hypothèses!$B$66))*Hypothèses!$B$44+Hypothèses!I24*0.75*(Hypothèses!I56/(1+Hypothèses!$B$67))*Hypothèses!$B$45)-((Hypothèses!$B$32*((1-Hypothèses!$B$46)+Hypothèses!$B$46*0.75)+SUM(Hypothèses!$B$33:$B$41))*(1+Hypothèses!$B$47)^7*1000)</f>
        <v>152530.01727286866</v>
      </c>
      <c r="J11" s="27">
        <f>(Hypothèses!J$8*0.75)*(Hypothèses!J61/(1+Hypothèses!$B$65))+(Hypothèses!J$8*0.75)*Hypothèses!$B$15*(Hypothèses!J55/(1+Hypothèses!$B$66))+Hypothèses!J24*0.75*(Hypothèses!J56/(1+Hypothèses!$B$67))+Hypothèses!J25*(Hypothèses!J57/(1+Hypothèses!$B$68))+Hypothèses!J26*(Hypothèses!J58/(1+Hypothèses!$B$69))+Hypothèses!J27*(Hypothèses!J59/(1+Hypothèses!$B$70))+Hypothèses!J28*(Hypothèses!J60/(1+Hypothèses!$B$71))-((Hypothèses!J$8*0.75)*Hypothèses!$B$15*(Hypothèses!J55/(1+Hypothèses!$B$66))*Hypothèses!$B$44+Hypothèses!J24*0.75*(Hypothèses!J56/(1+Hypothèses!$B$67))*Hypothèses!$B$45)-((Hypothèses!$B$32*((1-Hypothèses!$B$46)+Hypothèses!$B$46*0.75)+SUM(Hypothèses!$B$33:$B$41))*(1+Hypothèses!$B$47)^8*1000)</f>
        <v>157458.58832157345</v>
      </c>
      <c r="K11" s="27">
        <f>(Hypothèses!K$8*0.75)*(Hypothèses!K61/(1+Hypothèses!$B$65))+(Hypothèses!K$8*0.75)*Hypothèses!$B$15*(Hypothèses!K55/(1+Hypothèses!$B$66))+Hypothèses!K24*0.75*(Hypothèses!K56/(1+Hypothèses!$B$67))+Hypothèses!K25*(Hypothèses!K57/(1+Hypothèses!$B$68))+Hypothèses!K26*(Hypothèses!K58/(1+Hypothèses!$B$69))+Hypothèses!K27*(Hypothèses!K59/(1+Hypothèses!$B$70))+Hypothèses!K28*(Hypothèses!K60/(1+Hypothèses!$B$71))-((Hypothèses!K$8*0.75)*Hypothèses!$B$15*(Hypothèses!K55/(1+Hypothèses!$B$66))*Hypothèses!$B$44+Hypothèses!K24*0.75*(Hypothèses!K56/(1+Hypothèses!$B$67))*Hypothèses!$B$45)-((Hypothèses!$B$32*((1-Hypothèses!$B$46)+Hypothèses!$B$46*0.75)+SUM(Hypothèses!$B$33:$B$41))*(1+Hypothèses!$B$47)^9*1000)</f>
        <v>158780.32595980773</v>
      </c>
    </row>
    <row r="12" spans="1:11" s="43" customFormat="1" ht="15" customHeight="1" x14ac:dyDescent="0.2">
      <c r="A12" s="42" t="s">
        <v>163</v>
      </c>
      <c r="B12" s="39">
        <f>(Hypothèses!B$8*1)*(Hypothèses!B61/(1+Hypothèses!$B$65))+(Hypothèses!B$8*1)*Hypothèses!$B$15*(Hypothèses!B55/(1+Hypothèses!$B$66))+Hypothèses!B24*1*(Hypothèses!B56/(1+Hypothèses!$B$67))+Hypothèses!B25*(Hypothèses!B57/(1+Hypothèses!$B$68))+Hypothèses!B26*(Hypothèses!B58/(1+Hypothèses!$B$69))+Hypothèses!B27*(Hypothèses!B59/(1+Hypothèses!$B$70))+Hypothèses!B28*(Hypothèses!B60/(1+Hypothèses!$B$71))-((Hypothèses!B$8*1)*Hypothèses!$B$15*(Hypothèses!B55/(1+Hypothèses!$B$66))*Hypothèses!$B$44+Hypothèses!B24*1*(Hypothèses!B56/(1+Hypothèses!$B$67))*Hypothèses!$B$45)-((Hypothèses!$B$32*((1-Hypothèses!$B$46)+Hypothèses!$B$46*1)+SUM(Hypothèses!$B$33:$B$41))*(1+Hypothèses!$B$47)^0*1000)</f>
        <v>165154.22077922081</v>
      </c>
      <c r="C12" s="39">
        <f>(Hypothèses!C$8*1)*(Hypothèses!C61/(1+Hypothèses!$B$65))+(Hypothèses!C$8*1)*Hypothèses!$B$15*(Hypothèses!C55/(1+Hypothèses!$B$66))+Hypothèses!C24*1*(Hypothèses!C56/(1+Hypothèses!$B$67))+Hypothèses!C25*(Hypothèses!C57/(1+Hypothèses!$B$68))+Hypothèses!C26*(Hypothèses!C58/(1+Hypothèses!$B$69))+Hypothèses!C27*(Hypothèses!C59/(1+Hypothèses!$B$70))+Hypothèses!C28*(Hypothèses!C60/(1+Hypothèses!$B$71))-((Hypothèses!C$8*1)*Hypothèses!$B$15*(Hypothèses!C55/(1+Hypothèses!$B$66))*Hypothèses!$B$44+Hypothèses!C24*1*(Hypothèses!C56/(1+Hypothèses!$B$67))*Hypothèses!$B$45)-((Hypothèses!$B$32*((1-Hypothèses!$B$46)+Hypothèses!$B$46*1)+SUM(Hypothèses!$B$33:$B$41))*(1+Hypothèses!$B$47)^1*1000)</f>
        <v>231298.84887839458</v>
      </c>
      <c r="D12" s="39">
        <f>(Hypothèses!D$8*1)*(Hypothèses!D61/(1+Hypothèses!$B$65))+(Hypothèses!D$8*1)*Hypothèses!$B$15*(Hypothèses!D55/(1+Hypothèses!$B$66))+Hypothèses!D24*1*(Hypothèses!D56/(1+Hypothèses!$B$67))+Hypothèses!D25*(Hypothèses!D57/(1+Hypothèses!$B$68))+Hypothèses!D26*(Hypothèses!D58/(1+Hypothèses!$B$69))+Hypothèses!D27*(Hypothèses!D59/(1+Hypothèses!$B$70))+Hypothèses!D28*(Hypothèses!D60/(1+Hypothèses!$B$71))-((Hypothèses!D$8*1)*Hypothèses!$B$15*(Hypothèses!D55/(1+Hypothèses!$B$66))*Hypothèses!$B$44+Hypothèses!D24*1*(Hypothèses!D56/(1+Hypothèses!$B$67))*Hypothèses!$B$45)-((Hypothèses!$B$32*((1-Hypothèses!$B$46)+Hypothèses!$B$46*1)+SUM(Hypothèses!$B$33:$B$41))*(1+Hypothèses!$B$47)^2*1000)</f>
        <v>278178.21723730804</v>
      </c>
      <c r="E12" s="39">
        <f>(Hypothèses!E$8*1)*(Hypothèses!E61/(1+Hypothèses!$B$65))+(Hypothèses!E$8*1)*Hypothèses!$B$15*(Hypothèses!E55/(1+Hypothèses!$B$66))+Hypothèses!E24*1*(Hypothèses!E56/(1+Hypothèses!$B$67))+Hypothèses!E25*(Hypothèses!E57/(1+Hypothèses!$B$68))+Hypothèses!E26*(Hypothèses!E58/(1+Hypothèses!$B$69))+Hypothèses!E27*(Hypothèses!E59/(1+Hypothèses!$B$70))+Hypothèses!E28*(Hypothèses!E60/(1+Hypothèses!$B$71))-((Hypothèses!E$8*1)*Hypothèses!$B$15*(Hypothèses!E55/(1+Hypothèses!$B$66))*Hypothèses!$B$44+Hypothèses!E24*1*(Hypothèses!E56/(1+Hypothèses!$B$67))*Hypothèses!$B$45)-((Hypothèses!$B$32*((1-Hypothèses!$B$46)+Hypothèses!$B$46*1)+SUM(Hypothèses!$B$33:$B$41))*(1+Hypothèses!$B$47)^3*1000)</f>
        <v>309637.91266971664</v>
      </c>
      <c r="F12" s="39">
        <f>(Hypothèses!F$8*1)*(Hypothèses!F61/(1+Hypothèses!$B$65))+(Hypothèses!F$8*1)*Hypothèses!$B$15*(Hypothèses!F55/(1+Hypothèses!$B$66))+Hypothèses!F24*1*(Hypothèses!F56/(1+Hypothèses!$B$67))+Hypothèses!F25*(Hypothèses!F57/(1+Hypothèses!$B$68))+Hypothèses!F26*(Hypothèses!F58/(1+Hypothèses!$B$69))+Hypothèses!F27*(Hypothèses!F59/(1+Hypothèses!$B$70))+Hypothèses!F28*(Hypothèses!F60/(1+Hypothèses!$B$71))-((Hypothèses!F$8*1)*Hypothèses!$B$15*(Hypothèses!F55/(1+Hypothèses!$B$66))*Hypothèses!$B$44+Hypothèses!F24*1*(Hypothèses!F56/(1+Hypothèses!$B$67))*Hypothèses!$B$45)-((Hypothèses!$B$32*((1-Hypothèses!$B$46)+Hypothèses!$B$46*1)+SUM(Hypothèses!$B$33:$B$41))*(1+Hypothèses!$B$47)^4*1000)</f>
        <v>338358.7748902376</v>
      </c>
      <c r="G12" s="39">
        <f>(Hypothèses!G$8*1)*(Hypothèses!G61/(1+Hypothèses!$B$65))+(Hypothèses!G$8*1)*Hypothèses!$B$15*(Hypothèses!G55/(1+Hypothèses!$B$66))+Hypothèses!G24*1*(Hypothèses!G56/(1+Hypothèses!$B$67))+Hypothèses!G25*(Hypothèses!G57/(1+Hypothèses!$B$68))+Hypothèses!G26*(Hypothèses!G58/(1+Hypothèses!$B$69))+Hypothèses!G27*(Hypothèses!G59/(1+Hypothèses!$B$70))+Hypothèses!G28*(Hypothèses!G60/(1+Hypothèses!$B$71))-((Hypothèses!G$8*1)*Hypothèses!$B$15*(Hypothèses!G55/(1+Hypothèses!$B$66))*Hypothèses!$B$44+Hypothèses!G24*1*(Hypothèses!G56/(1+Hypothèses!$B$67))*Hypothèses!$B$45)-((Hypothèses!$B$32*((1-Hypothèses!$B$46)+Hypothèses!$B$46*1)+SUM(Hypothèses!$B$33:$B$41))*(1+Hypothèses!$B$47)^5*1000)</f>
        <v>355804.13003581122</v>
      </c>
      <c r="H12" s="39">
        <f>(Hypothèses!H$8*1)*(Hypothèses!H61/(1+Hypothèses!$B$65))+(Hypothèses!H$8*1)*Hypothèses!$B$15*(Hypothèses!H55/(1+Hypothèses!$B$66))+Hypothèses!H24*1*(Hypothèses!H56/(1+Hypothèses!$B$67))+Hypothèses!H25*(Hypothèses!H57/(1+Hypothèses!$B$68))+Hypothèses!H26*(Hypothèses!H58/(1+Hypothèses!$B$69))+Hypothèses!H27*(Hypothèses!H59/(1+Hypothèses!$B$70))+Hypothèses!H28*(Hypothèses!H60/(1+Hypothèses!$B$71))-((Hypothèses!H$8*1)*Hypothèses!$B$15*(Hypothèses!H55/(1+Hypothèses!$B$66))*Hypothèses!$B$44+Hypothèses!H24*1*(Hypothèses!H56/(1+Hypothèses!$B$67))*Hypothèses!$B$45)-((Hypothèses!$B$32*((1-Hypothèses!$B$46)+Hypothèses!$B$46*1)+SUM(Hypothèses!$B$33:$B$41))*(1+Hypothèses!$B$47)^6*1000)</f>
        <v>384252.36197619885</v>
      </c>
      <c r="I12" s="39">
        <f>(Hypothèses!I$8*1)*(Hypothèses!I61/(1+Hypothèses!$B$65))+(Hypothèses!I$8*1)*Hypothèses!$B$15*(Hypothèses!I55/(1+Hypothèses!$B$66))+Hypothèses!I24*1*(Hypothèses!I56/(1+Hypothèses!$B$67))+Hypothèses!I25*(Hypothèses!I57/(1+Hypothèses!$B$68))+Hypothèses!I26*(Hypothèses!I58/(1+Hypothèses!$B$69))+Hypothèses!I27*(Hypothèses!I59/(1+Hypothèses!$B$70))+Hypothèses!I28*(Hypothèses!I60/(1+Hypothèses!$B$71))-((Hypothèses!I$8*1)*Hypothèses!$B$15*(Hypothèses!I55/(1+Hypothèses!$B$66))*Hypothèses!$B$44+Hypothèses!I24*1*(Hypothèses!I56/(1+Hypothèses!$B$67))*Hypothèses!$B$45)-((Hypothèses!$B$32*((1-Hypothèses!$B$46)+Hypothèses!$B$46*1)+SUM(Hypothèses!$B$33:$B$41))*(1+Hypothèses!$B$47)^7*1000)</f>
        <v>370373.60978003114</v>
      </c>
      <c r="J12" s="39">
        <f>(Hypothèses!J$8*1)*(Hypothèses!J61/(1+Hypothèses!$B$65))+(Hypothèses!J$8*1)*Hypothèses!$B$15*(Hypothèses!J55/(1+Hypothèses!$B$66))+Hypothèses!J24*1*(Hypothèses!J56/(1+Hypothèses!$B$67))+Hypothèses!J25*(Hypothèses!J57/(1+Hypothèses!$B$68))+Hypothèses!J26*(Hypothèses!J58/(1+Hypothèses!$B$69))+Hypothèses!J27*(Hypothèses!J59/(1+Hypothèses!$B$70))+Hypothèses!J28*(Hypothèses!J60/(1+Hypothèses!$B$71))-((Hypothèses!J$8*1)*Hypothèses!$B$15*(Hypothèses!J55/(1+Hypothèses!$B$66))*Hypothèses!$B$44+Hypothèses!J24*1*(Hypothèses!J56/(1+Hypothèses!$B$67))*Hypothèses!$B$45)-((Hypothèses!$B$32*((1-Hypothèses!$B$46)+Hypothèses!$B$46*1)+SUM(Hypothèses!$B$33:$B$41))*(1+Hypothèses!$B$47)^8*1000)</f>
        <v>381071.85018686997</v>
      </c>
      <c r="K12" s="39">
        <f>(Hypothèses!K$8*1)*(Hypothèses!K61/(1+Hypothèses!$B$65))+(Hypothèses!K$8*1)*Hypothèses!$B$15*(Hypothèses!K55/(1+Hypothèses!$B$66))+Hypothèses!K24*1*(Hypothèses!K56/(1+Hypothèses!$B$67))+Hypothèses!K25*(Hypothèses!K57/(1+Hypothèses!$B$68))+Hypothèses!K26*(Hypothèses!K58/(1+Hypothèses!$B$69))+Hypothèses!K27*(Hypothèses!K59/(1+Hypothèses!$B$70))+Hypothèses!K28*(Hypothèses!K60/(1+Hypothèses!$B$71))-((Hypothèses!K$8*1)*Hypothèses!$B$15*(Hypothèses!K55/(1+Hypothèses!$B$66))*Hypothèses!$B$44+Hypothèses!K24*1*(Hypothèses!K56/(1+Hypothèses!$B$67))*Hypothèses!$B$45)-((Hypothèses!$B$32*((1-Hypothèses!$B$46)+Hypothèses!$B$46*1)+SUM(Hypothèses!$B$33:$B$41))*(1+Hypothèses!$B$47)^9*1000)</f>
        <v>388602.80634413916</v>
      </c>
    </row>
    <row r="13" spans="1:11" ht="15" customHeight="1" x14ac:dyDescent="0.2">
      <c r="A13" s="25" t="s">
        <v>164</v>
      </c>
      <c r="B13" s="27">
        <f>(Hypothèses!B$8*1.2)*(Hypothèses!B61/(1+Hypothèses!$B$65))+(Hypothèses!B$8*1.2)*Hypothèses!$B$15*(Hypothèses!B55/(1+Hypothèses!$B$66))+Hypothèses!B24*1.2*(Hypothèses!B56/(1+Hypothèses!$B$67))+Hypothèses!B25*(Hypothèses!B57/(1+Hypothèses!$B$68))+Hypothèses!B26*(Hypothèses!B58/(1+Hypothèses!$B$69))+Hypothèses!B27*(Hypothèses!B59/(1+Hypothèses!$B$70))+Hypothèses!B28*(Hypothèses!B60/(1+Hypothèses!$B$71))-((Hypothèses!B$8*1.2)*Hypothèses!$B$15*(Hypothèses!B55/(1+Hypothèses!$B$66))*Hypothèses!$B$44+Hypothèses!B24*1.2*(Hypothèses!B56/(1+Hypothèses!$B$67))*Hypothèses!$B$45)-((Hypothèses!$B$32*((1-Hypothèses!$B$46)+Hypothèses!$B$46*1.2)+SUM(Hypothèses!$B$33:$B$41))*(1+Hypothèses!$B$47)^0*1000)</f>
        <v>293862.4852420307</v>
      </c>
      <c r="C13" s="27">
        <f>(Hypothèses!C$8*1.2)*(Hypothèses!C61/(1+Hypothèses!$B$65))+(Hypothèses!C$8*1.2)*Hypothèses!$B$15*(Hypothèses!C55/(1+Hypothèses!$B$66))+Hypothèses!C24*1.2*(Hypothèses!C56/(1+Hypothèses!$B$67))+Hypothèses!C25*(Hypothèses!C57/(1+Hypothèses!$B$68))+Hypothèses!C26*(Hypothèses!C58/(1+Hypothèses!$B$69))+Hypothèses!C27*(Hypothèses!C59/(1+Hypothèses!$B$70))+Hypothèses!C28*(Hypothèses!C60/(1+Hypothèses!$B$71))-((Hypothèses!C$8*1.2)*Hypothèses!$B$15*(Hypothèses!C55/(1+Hypothèses!$B$66))*Hypothèses!$B$44+Hypothèses!C24*1.2*(Hypothèses!C56/(1+Hypothèses!$B$67))*Hypothèses!$B$45)-((Hypothèses!$B$32*((1-Hypothèses!$B$46)+Hypothèses!$B$46*1.2)+SUM(Hypothèses!$B$33:$B$41))*(1+Hypothèses!$B$47)^1*1000)</f>
        <v>371733.51239669404</v>
      </c>
      <c r="D13" s="27">
        <f>(Hypothèses!D$8*1.2)*(Hypothèses!D61/(1+Hypothèses!$B$65))+(Hypothèses!D$8*1.2)*Hypothèses!$B$15*(Hypothèses!D55/(1+Hypothèses!$B$66))+Hypothèses!D24*1.2*(Hypothèses!D56/(1+Hypothèses!$B$67))+Hypothèses!D25*(Hypothèses!D57/(1+Hypothèses!$B$68))+Hypothèses!D26*(Hypothèses!D58/(1+Hypothèses!$B$69))+Hypothèses!D27*(Hypothèses!D59/(1+Hypothèses!$B$70))+Hypothèses!D28*(Hypothèses!D60/(1+Hypothèses!$B$71))-((Hypothèses!D$8*1.2)*Hypothèses!$B$15*(Hypothèses!D55/(1+Hypothèses!$B$66))*Hypothèses!$B$44+Hypothèses!D24*1.2*(Hypothèses!D56/(1+Hypothèses!$B$67))*Hypothèses!$B$45)-((Hypothèses!$B$32*((1-Hypothèses!$B$46)+Hypothèses!$B$46*1.2)+SUM(Hypothèses!$B$33:$B$41))*(1+Hypothèses!$B$47)^2*1000)</f>
        <v>426840.48693919706</v>
      </c>
      <c r="E13" s="27">
        <f>(Hypothèses!E$8*1.2)*(Hypothèses!E61/(1+Hypothèses!$B$65))+(Hypothèses!E$8*1.2)*Hypothèses!$B$15*(Hypothèses!E55/(1+Hypothèses!$B$66))+Hypothèses!E24*1.2*(Hypothèses!E56/(1+Hypothèses!$B$67))+Hypothèses!E25*(Hypothèses!E57/(1+Hypothèses!$B$68))+Hypothèses!E26*(Hypothèses!E58/(1+Hypothèses!$B$69))+Hypothèses!E27*(Hypothèses!E59/(1+Hypothèses!$B$70))+Hypothèses!E28*(Hypothèses!E60/(1+Hypothèses!$B$71))-((Hypothèses!E$8*1.2)*Hypothèses!$B$15*(Hypothèses!E55/(1+Hypothèses!$B$66))*Hypothèses!$B$44+Hypothèses!E24*1.2*(Hypothèses!E56/(1+Hypothèses!$B$67))*Hypothèses!$B$45)-((Hypothèses!$B$32*((1-Hypothèses!$B$46)+Hypothèses!$B$46*1.2)+SUM(Hypothèses!$B$33:$B$41))*(1+Hypothèses!$B$47)^3*1000)</f>
        <v>465475.49815340887</v>
      </c>
      <c r="F13" s="27">
        <f>(Hypothèses!F$8*1.2)*(Hypothèses!F61/(1+Hypothèses!$B$65))+(Hypothèses!F$8*1.2)*Hypothèses!$B$15*(Hypothèses!F55/(1+Hypothèses!$B$66))+Hypothèses!F24*1.2*(Hypothèses!F56/(1+Hypothèses!$B$67))+Hypothèses!F25*(Hypothèses!F57/(1+Hypothèses!$B$68))+Hypothèses!F26*(Hypothèses!F58/(1+Hypothèses!$B$69))+Hypothèses!F27*(Hypothèses!F59/(1+Hypothèses!$B$70))+Hypothèses!F28*(Hypothèses!F60/(1+Hypothèses!$B$71))-((Hypothèses!F$8*1.2)*Hypothèses!$B$15*(Hypothèses!F55/(1+Hypothèses!$B$66))*Hypothèses!$B$44+Hypothèses!F24*1.2*(Hypothèses!F56/(1+Hypothèses!$B$67))*Hypothèses!$B$45)-((Hypothèses!$B$32*((1-Hypothèses!$B$46)+Hypothèses!$B$46*1.2)+SUM(Hypothèses!$B$33:$B$41))*(1+Hypothèses!$B$47)^4*1000)</f>
        <v>502089.36022353731</v>
      </c>
      <c r="G13" s="27">
        <f>(Hypothèses!G$8*1.2)*(Hypothèses!G61/(1+Hypothèses!$B$65))+(Hypothèses!G$8*1.2)*Hypothèses!$B$15*(Hypothèses!G55/(1+Hypothèses!$B$66))+Hypothèses!G24*1.2*(Hypothèses!G56/(1+Hypothèses!$B$67))+Hypothèses!G25*(Hypothèses!G57/(1+Hypothèses!$B$68))+Hypothèses!G26*(Hypothèses!G58/(1+Hypothèses!$B$69))+Hypothèses!G27*(Hypothèses!G59/(1+Hypothèses!$B$70))+Hypothèses!G28*(Hypothèses!G60/(1+Hypothèses!$B$71))-((Hypothèses!G$8*1.2)*Hypothèses!$B$15*(Hypothèses!G55/(1+Hypothèses!$B$66))*Hypothèses!$B$44+Hypothèses!G24*1.2*(Hypothèses!G56/(1+Hypothèses!$B$67))*Hypothèses!$B$45)-((Hypothèses!$B$32*((1-Hypothèses!$B$46)+Hypothèses!$B$46*1.2)+SUM(Hypothèses!$B$33:$B$41))*(1+Hypothèses!$B$47)^5*1000)</f>
        <v>524177.4524050405</v>
      </c>
      <c r="H13" s="27">
        <f>(Hypothèses!H$8*1.2)*(Hypothèses!H61/(1+Hypothèses!$B$65))+(Hypothèses!H$8*1.2)*Hypothèses!$B$15*(Hypothèses!H55/(1+Hypothèses!$B$66))+Hypothèses!H24*1.2*(Hypothèses!H56/(1+Hypothèses!$B$67))+Hypothèses!H25*(Hypothèses!H57/(1+Hypothèses!$B$68))+Hypothèses!H26*(Hypothèses!H58/(1+Hypothèses!$B$69))+Hypothèses!H27*(Hypothèses!H59/(1+Hypothèses!$B$70))+Hypothèses!H28*(Hypothèses!H60/(1+Hypothèses!$B$71))-((Hypothèses!H$8*1.2)*Hypothèses!$B$15*(Hypothèses!H55/(1+Hypothèses!$B$66))*Hypothèses!$B$44+Hypothèses!H24*1.2*(Hypothèses!H56/(1+Hypothèses!$B$67))*Hypothèses!$B$45)-((Hypothèses!$B$32*((1-Hypothèses!$B$46)+Hypothèses!$B$46*1.2)+SUM(Hypothèses!$B$33:$B$41))*(1+Hypothèses!$B$47)^6*1000)</f>
        <v>558778.28039167239</v>
      </c>
      <c r="I13" s="27">
        <f>(Hypothèses!I$8*1.2)*(Hypothèses!I61/(1+Hypothèses!$B$65))+(Hypothèses!I$8*1.2)*Hypothèses!$B$15*(Hypothèses!I55/(1+Hypothèses!$B$66))+Hypothèses!I24*1.2*(Hypothèses!I56/(1+Hypothèses!$B$67))+Hypothèses!I25*(Hypothèses!I57/(1+Hypothèses!$B$68))+Hypothèses!I26*(Hypothèses!I58/(1+Hypothèses!$B$69))+Hypothèses!I27*(Hypothèses!I59/(1+Hypothèses!$B$70))+Hypothèses!I28*(Hypothèses!I60/(1+Hypothèses!$B$71))-((Hypothèses!I$8*1.2)*Hypothèses!$B$15*(Hypothèses!I55/(1+Hypothèses!$B$66))*Hypothèses!$B$44+Hypothèses!I24*1.2*(Hypothèses!I56/(1+Hypothèses!$B$67))*Hypothèses!$B$45)-((Hypothèses!$B$32*((1-Hypothèses!$B$46)+Hypothèses!$B$46*1.2)+SUM(Hypothèses!$B$33:$B$41))*(1+Hypothèses!$B$47)^7*1000)</f>
        <v>544648.48378576164</v>
      </c>
      <c r="J13" s="27">
        <f>(Hypothèses!J$8*1.2)*(Hypothèses!J61/(1+Hypothèses!$B$65))+(Hypothèses!J$8*1.2)*Hypothèses!$B$15*(Hypothèses!J55/(1+Hypothèses!$B$66))+Hypothèses!J24*1.2*(Hypothèses!J56/(1+Hypothèses!$B$67))+Hypothèses!J25*(Hypothèses!J57/(1+Hypothèses!$B$68))+Hypothèses!J26*(Hypothèses!J58/(1+Hypothèses!$B$69))+Hypothèses!J27*(Hypothèses!J59/(1+Hypothèses!$B$70))+Hypothèses!J28*(Hypothèses!J60/(1+Hypothèses!$B$71))-((Hypothèses!J$8*1.2)*Hypothèses!$B$15*(Hypothèses!J55/(1+Hypothèses!$B$66))*Hypothèses!$B$44+Hypothèses!J24*1.2*(Hypothèses!J56/(1+Hypothèses!$B$67))*Hypothèses!$B$45)-((Hypothèses!$B$32*((1-Hypothèses!$B$46)+Hypothèses!$B$46*1.2)+SUM(Hypothèses!$B$33:$B$41))*(1+Hypothèses!$B$47)^8*1000)</f>
        <v>559962.45967910707</v>
      </c>
      <c r="K13" s="27">
        <f>(Hypothèses!K$8*1.2)*(Hypothèses!K61/(1+Hypothèses!$B$65))+(Hypothèses!K$8*1.2)*Hypothèses!$B$15*(Hypothèses!K55/(1+Hypothèses!$B$66))+Hypothèses!K24*1.2*(Hypothèses!K56/(1+Hypothèses!$B$67))+Hypothèses!K25*(Hypothèses!K57/(1+Hypothèses!$B$68))+Hypothèses!K26*(Hypothèses!K58/(1+Hypothèses!$B$69))+Hypothèses!K27*(Hypothèses!K59/(1+Hypothèses!$B$70))+Hypothèses!K28*(Hypothèses!K60/(1+Hypothèses!$B$71))-((Hypothèses!K$8*1.2)*Hypothèses!$B$15*(Hypothèses!K55/(1+Hypothèses!$B$66))*Hypothèses!$B$44+Hypothèses!K24*1.2*(Hypothèses!K56/(1+Hypothèses!$B$67))*Hypothèses!$B$45)-((Hypothèses!$B$32*((1-Hypothèses!$B$46)+Hypothèses!$B$46*1.2)+SUM(Hypothèses!$B$33:$B$41))*(1+Hypothèses!$B$47)^9*1000)</f>
        <v>572460.79065160407</v>
      </c>
    </row>
    <row r="15" spans="1:11" ht="15" customHeight="1" x14ac:dyDescent="0.2">
      <c r="A15" s="4" t="s">
        <v>165</v>
      </c>
    </row>
    <row r="16" spans="1:11" ht="15" customHeight="1" x14ac:dyDescent="0.2">
      <c r="A16" s="4" t="s">
        <v>166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Synthèse</vt:lpstr>
      <vt:lpstr>Hypothèses</vt:lpstr>
      <vt:lpstr>Revenus</vt:lpstr>
      <vt:lpstr>P&amp;L 10 ans</vt:lpstr>
      <vt:lpstr>CAPEX &amp; Financement</vt:lpstr>
      <vt:lpstr>Seuil &amp; Scénarios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Antoine Gheysens</cp:lastModifiedBy>
  <dcterms:created xsi:type="dcterms:W3CDTF">2026-08-20T14:40:23Z</dcterms:created>
  <dcterms:modified xsi:type="dcterms:W3CDTF">2026-08-20T14:58:18Z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2026-08-05T06:02:47Z</dcterms:created>
  <dc:creator/>
  <dc:description/>
  <dc:language>en-US</dc:language>
  <cp:lastModifiedBy>antoine</cp:lastModifiedBy>
  <dcterms:modified xsi:type="dcterms:W3CDTF">2026-08-05T08:20:42Z</dcterms:modified>
  <cp:revision>0</cp:revision>
  <dc:subject/>
  <dc:title/>
</cp:coreProperties>
</file>